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1"/>
  <workbookPr/>
  <mc:AlternateContent xmlns:mc="http://schemas.openxmlformats.org/markup-compatibility/2006">
    <mc:Choice Requires="x15">
      <x15ac:absPath xmlns:x15ac="http://schemas.microsoft.com/office/spreadsheetml/2010/11/ac" url="https://kindenziekenhuis.sharepoint.com/Projecten/36. MKS/Producten/Kosten dagbehandelingthuis/"/>
    </mc:Choice>
  </mc:AlternateContent>
  <xr:revisionPtr revIDLastSave="0" documentId="8_{1044BCBA-3C7D-4297-A85D-C75D95877FF9}" xr6:coauthVersionLast="47" xr6:coauthVersionMax="47" xr10:uidLastSave="{00000000-0000-0000-0000-000000000000}"/>
  <workbookProtection workbookAlgorithmName="SHA-512" workbookHashValue="KgGxMbPeVN06OVnkKIpJHxkcY9/7gmDDKoVsmOAojCXTqmCI1a5TiSQtgxh3CmVN4hB/r3pzr1R1SaBPu/q37Q==" workbookSaltValue="wm0AB7l/1vqRuhImYe/Y1A==" workbookSpinCount="100000" lockStructure="1"/>
  <bookViews>
    <workbookView xWindow="-110" yWindow="-110" windowWidth="19420" windowHeight="11500" xr2:uid="{EEFC291A-4CC4-42F4-AE5F-5379ACAB223B}"/>
  </bookViews>
  <sheets>
    <sheet name="Overview" sheetId="4" r:id="rId1"/>
    <sheet name="NZA tarief dagbehandeling kind" sheetId="2" r:id="rId2"/>
    <sheet name="Indexering prijzen" sheetId="5" r:id="rId3"/>
    <sheet name="Blad1" sheetId="6" state="hidden" r:id="rId4"/>
  </sheets>
  <externalReferences>
    <externalReference r:id="rId5"/>
    <externalReference r:id="rId6"/>
    <externalReference r:id="rId7"/>
  </externalReferences>
  <definedNames>
    <definedName name="index2014">'[1]Indexatie kostprijzen'!$C$5</definedName>
    <definedName name="jaar">[2]Instellingen!$G$9</definedName>
    <definedName name="med.spec.min">[1]Kostprijzen!$B$8</definedName>
    <definedName name="psycho.min">[1]Kostprijzen!#REF!</definedName>
    <definedName name="psychotherapeut">[1]Kostprijzen!#REF!</definedName>
    <definedName name="test1">[3]Instellingen!$G$9</definedName>
    <definedName name="vpk.min">[1]Kostprijzen!$B$4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8" i="4" l="1"/>
  <c r="B4" i="6"/>
  <c r="B3" i="6"/>
  <c r="B2" i="6"/>
  <c r="C5" i="6"/>
  <c r="O51" i="4"/>
  <c r="O26" i="4"/>
  <c r="O25" i="4"/>
  <c r="O24" i="4"/>
  <c r="O15" i="4"/>
  <c r="O17" i="4"/>
  <c r="O16" i="4"/>
  <c r="B15" i="5"/>
  <c r="O49" i="4" s="1"/>
  <c r="O14" i="4" l="1"/>
  <c r="O44" i="4"/>
  <c r="O28" i="4"/>
  <c r="L22" i="4" s="1"/>
  <c r="K22" i="4" s="1"/>
  <c r="C6" i="6" s="1"/>
  <c r="O33" i="4"/>
  <c r="O43" i="4"/>
  <c r="H19" i="4" l="1"/>
  <c r="E33" i="4"/>
  <c r="F33" i="4" s="1"/>
  <c r="E34" i="4"/>
  <c r="F34" i="4" s="1"/>
  <c r="E44" i="4"/>
  <c r="E45" i="4" s="1"/>
  <c r="F45" i="4" s="1"/>
  <c r="E49" i="4"/>
  <c r="E50" i="4" s="1"/>
  <c r="G45" i="4"/>
  <c r="H45" i="4" s="1"/>
  <c r="G44" i="4"/>
  <c r="H44" i="4" s="1"/>
  <c r="L34" i="4"/>
  <c r="L33" i="4"/>
  <c r="H16" i="4"/>
  <c r="G27" i="4"/>
  <c r="E27" i="4"/>
  <c r="G26" i="4"/>
  <c r="E26" i="4"/>
  <c r="G25" i="4"/>
  <c r="E25" i="4"/>
  <c r="L21" i="4"/>
  <c r="J21" i="4"/>
  <c r="K20" i="4"/>
  <c r="L13" i="4"/>
  <c r="L18" i="4"/>
  <c r="H18" i="4"/>
  <c r="H14" i="4"/>
  <c r="J13" i="4"/>
  <c r="H43" i="4" l="1"/>
  <c r="F43" i="4"/>
  <c r="J18" i="4"/>
  <c r="J12" i="4" s="1"/>
  <c r="L6" i="4"/>
  <c r="J23" i="4"/>
  <c r="G28" i="4"/>
  <c r="F44" i="4"/>
  <c r="J6" i="4"/>
  <c r="I17" i="4"/>
  <c r="K17" i="4"/>
  <c r="H15" i="4"/>
  <c r="H13" i="4" s="1"/>
  <c r="E28" i="4"/>
  <c r="F32" i="4"/>
  <c r="O37" i="4"/>
  <c r="K35" i="4"/>
  <c r="L23" i="4"/>
  <c r="E37" i="4"/>
  <c r="F49" i="4"/>
  <c r="F48" i="4" s="1"/>
  <c r="D34" i="2"/>
  <c r="D29" i="2"/>
  <c r="D24" i="2"/>
  <c r="D19" i="2"/>
  <c r="D14" i="2"/>
  <c r="D39" i="2" s="1"/>
  <c r="D9" i="2"/>
  <c r="D5" i="2"/>
  <c r="J5" i="4" l="1"/>
  <c r="J11" i="4"/>
  <c r="K25" i="4"/>
  <c r="H12" i="4"/>
  <c r="F6" i="4"/>
  <c r="H6" i="4" s="1"/>
  <c r="J4" i="4"/>
  <c r="J3" i="4" s="1"/>
  <c r="I25" i="4"/>
  <c r="I28" i="4" s="1"/>
  <c r="C2" i="6"/>
  <c r="D40" i="2"/>
  <c r="O19" i="4" s="1"/>
  <c r="F12" i="4" s="1"/>
  <c r="F11" i="4" s="1"/>
  <c r="F4" i="4" s="1"/>
  <c r="L35" i="4"/>
  <c r="I35" i="4"/>
  <c r="I37" i="4" s="1"/>
  <c r="H20" i="4"/>
  <c r="L17" i="4"/>
  <c r="O38" i="4"/>
  <c r="K36" i="4"/>
  <c r="K37" i="4" s="1"/>
  <c r="E39" i="2"/>
  <c r="D37" i="2"/>
  <c r="D36" i="2"/>
  <c r="L12" i="4" l="1"/>
  <c r="H11" i="4"/>
  <c r="F3" i="4"/>
  <c r="L20" i="4"/>
  <c r="K28" i="4"/>
  <c r="L36" i="4"/>
  <c r="L11" i="4" l="1"/>
  <c r="L4" i="4"/>
  <c r="L5" i="4"/>
  <c r="L32" i="4"/>
  <c r="H4" i="4"/>
  <c r="H3" i="4"/>
  <c r="L3" i="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tc={19D314C7-45AE-4437-B907-4B649D56DE52}</author>
  </authors>
  <commentList>
    <comment ref="D4" authorId="0" shapeId="0" xr:uid="{19D314C7-45AE-4437-B907-4B649D56DE52}">
      <text>
        <t xml:space="preserve">[Threaded comment]
Your version of Excel allows you to read this threaded comment; however, any edits to it will get removed if the file is opened in a newer version of Excel. Learn more: https://go.microsoft.com/fwlink/?linkid=870924
Comment:
    Van 2024, niet bepaald voor 2025
</t>
      </text>
    </comment>
  </commentList>
</comments>
</file>

<file path=xl/sharedStrings.xml><?xml version="1.0" encoding="utf-8"?>
<sst xmlns="http://schemas.openxmlformats.org/spreadsheetml/2006/main" count="236" uniqueCount="182">
  <si>
    <t>Kostenevalutie dagbehandeling thuis</t>
  </si>
  <si>
    <t>Verschillen in kosten per kind per jaar</t>
  </si>
  <si>
    <t>Inputs en bronvermelding</t>
  </si>
  <si>
    <t>Ziekenhuis - Maximaal tarief</t>
  </si>
  <si>
    <t>Ziekenhuis - Bottom-up</t>
  </si>
  <si>
    <t>Thuis - Maximaal tarief</t>
  </si>
  <si>
    <t>Thuis - Bottom-up</t>
  </si>
  <si>
    <t>Totale kosten</t>
  </si>
  <si>
    <t>Algemene inputs:</t>
  </si>
  <si>
    <t>Kosten ziekenhuis/apotheek</t>
  </si>
  <si>
    <t>Personele kosten berekeing</t>
  </si>
  <si>
    <t>{maandsalaris inclusief 13de maand}*12/1543*{tijd in uren}*1,41 (toeslag voor vakantietoeslag en sociale lasten) volgens voorbeeld 11, p61 van Kostenhandleiding voor economische evaluaties in de gezondheidszorg: Methodologie en Referentieprijzen (Door Erasmus School of Health Policy &amp; Management, Institute for Medical Technology Assessment, Erasmus Universiteit Rotterdam, &amp; Zorginstituut Nederland). (z.d.). https://www.zorginstituutnederland.nl/binaries/zinl/documenten/publicatie/2024/01/16/richtlijn-voor-het-uitvoeren-van-economische-evaluaties-in-de-gezondheidszorg/Verdiepingsmodule+Kostenhandleiding+%28versie+2024%29.pdf</t>
  </si>
  <si>
    <t>Kosten thuiszorg</t>
  </si>
  <si>
    <t>Kosten familie</t>
  </si>
  <si>
    <t>Veel gebruikte referenties:</t>
  </si>
  <si>
    <t>Hospital-based or home-based administration of oncology drugs? A micro-costing study comparing healthcare and societal costs of hospital-based and home-based subcutaneous administration of trastuzumab - PubMed</t>
  </si>
  <si>
    <t>Kostenhandleiding voor economische evaluties in de gezondheidszorg: Methodologie en Referentieprijzen</t>
  </si>
  <si>
    <t>Kosten voor</t>
  </si>
  <si>
    <t>Tijd (min) per keer</t>
  </si>
  <si>
    <t>Geld</t>
  </si>
  <si>
    <t>Inputs:</t>
  </si>
  <si>
    <t>Prijzen 2025</t>
  </si>
  <si>
    <t>Toelichting:</t>
  </si>
  <si>
    <t>Medische kosten</t>
  </si>
  <si>
    <t xml:space="preserve">Tijdsduur gift </t>
  </si>
  <si>
    <t>In minuten</t>
  </si>
  <si>
    <t>Directe kosten: Personeel + ruimte + middelen + overhead van IV</t>
  </si>
  <si>
    <t>Zorg</t>
  </si>
  <si>
    <t>Aantal gifts per jaar</t>
  </si>
  <si>
    <t>Personele kosten (inzet in minuten per gift)</t>
  </si>
  <si>
    <t>Aantal polibezoeken per jaar</t>
  </si>
  <si>
    <t xml:space="preserve">Verpleegkundigen </t>
  </si>
  <si>
    <t xml:space="preserve">Kosten dagbehandeling (zonder personeel) </t>
  </si>
  <si>
    <r>
      <rPr>
        <sz val="11"/>
        <color theme="1"/>
        <rFont val="Aptos Narrow"/>
        <family val="2"/>
      </rPr>
      <t xml:space="preserve">€335 (dagbehandeling, prijs 2015) uit </t>
    </r>
    <r>
      <rPr>
        <sz val="11"/>
        <color theme="1"/>
        <rFont val="Aptos Narrow"/>
        <family val="2"/>
        <scheme val="minor"/>
      </rPr>
      <t>Kostenhandleiding voor economische evaluaties in de gezondheidszorg: Methodologie en Referentieprijzen (Door Erasmus School of Health Policy &amp; Management, Institute for Medical Technology Assessment, Erasmus Universiteit Rotterdam, &amp; Zorginstituut Nederland). (z.d.). https://www.zorginstituutnederland.nl/binaries/zinl/documenten/publicatie/2024/01/16/richtlijn-voor-het-uitvoeren-van-economische-evaluaties-in-de-gezondheidszorg/Verdiepingsmodule+Kostenhandleiding+%28versie+2024%29.pdf</t>
    </r>
  </si>
  <si>
    <t>PA</t>
  </si>
  <si>
    <t>Verpleegkundig uurtarief (ziekenhuis)</t>
  </si>
  <si>
    <t>Berekend op basis van personele kosten berekening van algemene inputs, gebaseerd op maandsalaris (exlusief 13de maand) van 4000 euro/maand, op basis van vacacture voor kinderverpleegkudnige: https://www.radboudumc.nl/vacatures/109781-kinderverpleegkundige?apply=1&amp;utm_campaign=google_jobs_apply&amp;utm_source=google_jobs_apply&amp;utm_medium=organic</t>
  </si>
  <si>
    <t>Dokterassistent</t>
  </si>
  <si>
    <t xml:space="preserve">Apothekersassitent uurtarief (ziekenhuis) </t>
  </si>
  <si>
    <t>Berekend op basis van personele kosten berekening van algemene inputs, gebaseerd op maandsalaris (exclusief 13de maand) van 3700 euro/maand, op basis van vacacture voor apothekersassistent: https://www.werkenbijumcutrecht.nl/vacatures/apothekersassistent/apothekersassistent-poliklinische-apotheek-2025-6247?utm_campaign=google_jobs_apply&amp;utm_source=google_jobs_apply&amp;utm_medium=organic</t>
  </si>
  <si>
    <t>Personele kosten door reistijd (reistijd in minuten per gift)</t>
  </si>
  <si>
    <t>nvt</t>
  </si>
  <si>
    <t>Zit in maximale door te bereken kosten</t>
  </si>
  <si>
    <t>Verpleegkundige uurtarief (thuis)</t>
  </si>
  <si>
    <t>Berekend op basis van personele kosten berekening van algemene inputs, gebaseerd op maandsalaris van 4200 euro/maand, op basis van VVT FWG 50</t>
  </si>
  <si>
    <t>Middelen kosten</t>
  </si>
  <si>
    <t>Kosten van middelen IV (ziekenhuis)</t>
  </si>
  <si>
    <t>Tabel 6. Consumables. Franken MG, Kanters TA, Coenen JL, de Jong P, Koene HR, Lugtenburg PJ, Jager A, Uyl-de Groot CA. Potential cost savings owing to the route of administration of oncology drugs: a microcosting study of intravenous and subcutaneous administration of trastuzumab and rituximab in the Netherlands. Anticancer Drugs. 2018 Sep;29(8):791-801. doi: 10.1097/CAD.0000000000000648. PMID: 29846248.</t>
  </si>
  <si>
    <t>Kosten voor ruimte</t>
  </si>
  <si>
    <t>Maximaal NZA-tarief dagbehandeling kind ziekenhuis</t>
  </si>
  <si>
    <t>NZA tarief benadering zie excel-tabblad 'NZA tarief dagbehandeling kind'</t>
  </si>
  <si>
    <t>Indirecte kosten</t>
  </si>
  <si>
    <t>Maximaal NZA-tarief thuiszorg per kind</t>
  </si>
  <si>
    <t>Maximaal tarief per uur voor thuiszorg voor kinderen: https://puc.overheid.nl/nza/doc/PUC_765962_22/1/</t>
  </si>
  <si>
    <t>Noodpakket</t>
  </si>
  <si>
    <t>Kosten pomp + materialen - kinderthuiszorg</t>
  </si>
  <si>
    <t>Gebaseerd op pilot</t>
  </si>
  <si>
    <t>Apotheek (inzet in minuten per gift)</t>
  </si>
  <si>
    <t>Noodpakket (per jaar)</t>
  </si>
  <si>
    <t>Gebaseerd op noodpakket in budget impact analyse van thuistoediening, uitgevoerd door federatie medische specialisten kennisinstituut. Aanname daarbij is dat noodmedicatie bestaat uit adrenaline injector, antihistaminicum en corticosteroid. Elk jaar te vervangen.</t>
  </si>
  <si>
    <t>Transferpunt (inzet in minuten per jaar)</t>
  </si>
  <si>
    <t>Indirecte kosten (%) voor kinderthuiszorg</t>
  </si>
  <si>
    <t>Gebaseerd op mark-up kosten bij thuiszorg, zoals beschreven in Franken, M., Kanters, T., Coenen, J., De Jong, P., Jager, A., &amp; Groot, C. U. (2020). Hospital-based or home-based administration of oncology drugs? A micro-costing study comparing healthcare and societal costs of hospital-based and home-based subcutaneous administration of trastuzumab. The Breast, 52, 71–77. https://doi.org/10.1016/j.breast.2020.05.001</t>
  </si>
  <si>
    <t xml:space="preserve">Tranfserpunt verpleegkundige </t>
  </si>
  <si>
    <t>Berekend op basis van personele kosten berekening van algemene inputs, gebaseerd op maandsalaris (exclusief 13de maand) van 4000 euro/maand, op basis van vacacture voor transferpunt verpleegkundige: https://share.google/aoaLG4rvCLAQ04oAs</t>
  </si>
  <si>
    <t>Tijd van vpk per jaar in uren</t>
  </si>
  <si>
    <t>Doktersassistent tarief</t>
  </si>
  <si>
    <t>Berekend op basis van personele kosten berekening van algemene inputs, gebaseerd op maandsalaris (exclusief 13de maand) van 3000 euro/maand, op basis van vacacture voor doktersassistent: https://www.radboudumc.nl/vacatures/159924-doktersassistent-polikliniek-assistent-amalia-kinderziekenhuis?utm_campaign=google_jobs_apply&amp;utm_source=google_jobs_apply&amp;utm_medium=organic</t>
  </si>
  <si>
    <t>Tijd van PA per jaar in uren</t>
  </si>
  <si>
    <t>PA uurtarief (ziekenhuis)</t>
  </si>
  <si>
    <t>Berekend op basis van personele kosten berekening van algemene inputs, gebaseerd op maandsalaris (exclusief 13de maand) van 5000 euro/maand, op basis van vacacture voor PA; https://www.radboudumc.nl/vacatures/159983-physician-assistant-radiotherapie?utm_campaign=google_jobs_apply&amp;utm_source=google_jobs_apply&amp;utm_medium=organic</t>
  </si>
  <si>
    <t>Tijd van dokterassistent pe rjaar in uren</t>
  </si>
  <si>
    <t>Overhead (%) voor ziekenhuiszorg</t>
  </si>
  <si>
    <t>Aanname</t>
  </si>
  <si>
    <t>Zorgverlenertijd (vpk, PA en doktersassistent)</t>
  </si>
  <si>
    <t>Extra apotheek kosten bij thuistoediening voor ready-to-use injectie</t>
  </si>
  <si>
    <r>
      <t xml:space="preserve">Gebaseerd op </t>
    </r>
    <r>
      <rPr>
        <sz val="11"/>
        <color theme="1"/>
        <rFont val="Aptos Narrow"/>
        <family val="2"/>
      </rPr>
      <t>€</t>
    </r>
    <r>
      <rPr>
        <sz val="11"/>
        <color theme="1"/>
        <rFont val="Aptos Narrow"/>
        <family val="2"/>
        <scheme val="minor"/>
      </rPr>
      <t xml:space="preserve"> 6,05 (prijs 2017) voor ready-to-use injectie, zoals beschreven in Franken, M., Kanters, T., Coenen, J., De Jong, P., Jager, A., &amp; Groot, C. U. (2020). Hospital-based or home-based administration of oncology drugs? A micro-costing study comparing healthcare and societal costs of hospital-based and home-based subcutaneous administration of trastuzumab. The Breast, 52, 71–77. https://doi.org/10.1016/j.breast.2020.05.001</t>
    </r>
  </si>
  <si>
    <t xml:space="preserve">Ziekenhuis </t>
  </si>
  <si>
    <t>Thuis - Op basis van gemiddelde reisafstand</t>
  </si>
  <si>
    <t>Eenheid</t>
  </si>
  <si>
    <t>Reiskosten</t>
  </si>
  <si>
    <t xml:space="preserve">Gemiddelde afstand tot radboudumc voor amalia patienten </t>
  </si>
  <si>
    <t>Mediaan afstand kinderen radboudumc, op basis van BIA-rapportage</t>
  </si>
  <si>
    <t>Reiskosten patient (reisafstand in km per jaar)</t>
  </si>
  <si>
    <t>Familie</t>
  </si>
  <si>
    <t>Reiskosten per km</t>
  </si>
  <si>
    <t>Reiskosten €0,26 per km (prijs 2023), p46, uit Kostenhandleiding voor economische evaluaties in de gezondheidszorg: Methodologie en Referentieprijzen (Door Erasmus School of Health Policy &amp; Management, Institute for Medical Technology Assessment, Erasmus Universiteit Rotterdam, &amp; Zorginstituut Nederland). (z.d.). https://www.zorginstituutnederland.nl/binaries/zinl/documenten/publicatie/2024/01/16/richtlijn-voor-het-uitvoeren-van-economische-evaluaties-in-de-gezondheidszorg/Verdiepingsmodule+Kostenhandleiding+%28versie+2024%29.pdf</t>
  </si>
  <si>
    <t>Parkeerkosten (uren parkeren per jaar)</t>
  </si>
  <si>
    <t>Gemiddelde reisafstand (kinder)thuiszorg</t>
  </si>
  <si>
    <t>Gebaseerd op tabel 3 in Franken, M., Kanters, T., Coenen, J., De Jong, P., Jager, A., &amp; Groot, C. U. (2020). Hospital-based or home-based administration of oncology drugs? A micro-costing study comparing healthcare and societal costs of hospital-based and home-based subcutaneous administration of trastuzumab. The Breast, 52, 71–77. https://doi.org/10.1016/j.breast.2020.05.001</t>
  </si>
  <si>
    <t>Reiskosten vpk (reisafstand in km per jaar)</t>
  </si>
  <si>
    <t>Zit in maximaal tarief</t>
  </si>
  <si>
    <t>Parkeerkosten per uur (ziekenhuis)</t>
  </si>
  <si>
    <t>Parkeerkosten Radboudmc: https://www.radboudumc.nl/patientenzorg/bereikbaarheid/met-de-auto/aanrijroutes-en-parkeren</t>
  </si>
  <si>
    <t xml:space="preserve">Bezorgkosten apotheek (reisafstand in km per jaar) </t>
  </si>
  <si>
    <t>nt</t>
  </si>
  <si>
    <t>Gemiddelde tijd per km (in minuten)</t>
  </si>
  <si>
    <t>Uitgaande van gemiddeld 60 km per uur</t>
  </si>
  <si>
    <t>Gemaakte kilometers (duurzaamheid)</t>
  </si>
  <si>
    <t>Gemiddelde afstand voor apotheek</t>
  </si>
  <si>
    <t>Aanname: vergelijkbaar met thuiszorg (beide rijde in een ronde)</t>
  </si>
  <si>
    <t>Gemiddeld kosten voor bezorger medicijn</t>
  </si>
  <si>
    <t>Gebaseerd op een salaris van 18 euro per uur + 41% sociale lasten voor werkgever. Zie uurtarief https://share.google/xQ9QDeAsLWDFVWNM6</t>
  </si>
  <si>
    <t>Reiskosten voor thuiszorg per km voor zakelijke auto</t>
  </si>
  <si>
    <t>Autokosten voor een kleine auto (&lt;= 25.000 euro); https://www.vzr.nl/nieuws/details/vzr_stelt_norm_vast_voor_kilometervergoeding_2025</t>
  </si>
  <si>
    <t xml:space="preserve">Thuis </t>
  </si>
  <si>
    <t>Uren</t>
  </si>
  <si>
    <t>Productiviteitsverlies</t>
  </si>
  <si>
    <t>Betaald werk</t>
  </si>
  <si>
    <t>Productiviteitskosten €39,88 per uur (prijs 2023), p52, uit Kostenhandleiding voor economische evaluaties in de gezondheidszorg: Methodologie en Referentieprijzen (Door Erasmus School of Health Policy &amp; Management, Institute for Medical Technology Assessment, Erasmus Universiteit Rotterdam, &amp; Zorginstituut Nederland). (z.d.). https://www.zorginstituutnederland.nl/binaries/zinl/documenten/publicatie/2024/01/16/richtlijn-voor-het-uitvoeren-van-economische-evaluaties-in-de-gezondheidszorg/Verdiepingsmodule+Kostenhandleiding+%28versie+2024%29.pdf</t>
  </si>
  <si>
    <t>Uitgaande van uren werk verloren</t>
  </si>
  <si>
    <t>Onbetaald werk</t>
  </si>
  <si>
    <t>Productiviteitsverlies van onbetaald werk: €18,80 per uur (prijs 2022), p54, uit Kostenhandleiding voor economische evaluaties in de gezondheidszorg: Methodologie en Referentieprijzen (Door Erasmus School of Health Policy &amp; Management, Institute for Medical Technology Assessment, Erasmus Universiteit Rotterdam, &amp; Zorginstituut Nederland). (z.d.). https://www.zorginstituutnederland.nl/binaries/zinl/documenten/publicatie/2024/01/16/richtlijn-voor-het-uitvoeren-van-economische-evaluaties-in-de-gezondheidszorg/Verdiepingsmodule+Kostenhandleiding+%28versie+2024%29.pdf</t>
  </si>
  <si>
    <t>Uitgaande van onbetaald werk/mantelzorg verloren</t>
  </si>
  <si>
    <t>Aantal uur werk verloren bij toediening thuis</t>
  </si>
  <si>
    <t>Op basis van inschatting kinderthuiszorg</t>
  </si>
  <si>
    <t>Gemiste uren school</t>
  </si>
  <si>
    <t>Aantal gemiste uren op jaarbasis</t>
  </si>
  <si>
    <t>Gemiste uren school middelbare onderwijs</t>
  </si>
  <si>
    <t>Referentieprijzen voortgezet onderwijs: €15,26 per uur (prijs 2022), p55, uit Kostenhandleiding voor economische evaluaties in de gezondheidszorg: Methodologie en Referentieprijzen (Door Erasmus School of Health Policy &amp; Management, Institute for Medical Technology Assessment, Erasmus Universiteit Rotterdam, &amp; Zorginstituut Nederland). (z.d.). https://www.zorginstituutnederland.nl/binaries/zinl/documenten/publicatie/2024/01/16/richtlijn-voor-het-uitvoeren-van-economische-evaluaties-in-de-gezondheidszorg/Verdiepingsmodule+Kostenhandleiding+%28versie+2024%29.pdf</t>
  </si>
  <si>
    <t>% gemiste school</t>
  </si>
  <si>
    <t>Aantal uren school op jaarbasis</t>
  </si>
  <si>
    <t>Rijksoverheid: https://www.rijksoverheid.nl/onderwerpen/schooltijden-en-onderwijstijd/overzicht-aantal-uren-onderwijstijd#:~:text=Een%20kind%20op%20de%20basisschool,schooljaren%20(bovenbouw)%3A%203.760%20uur.</t>
  </si>
  <si>
    <t>Gemiddelde gemiste uren school bij toediening in ziekenhuis</t>
  </si>
  <si>
    <t>Soms buiten schooltijd, soms binnenschooltijd daarom gekozen voor de helft van de uren dat men gemiddeld kwijt is aan reizen naar en aanwezig zijn in het ziekenhuis</t>
  </si>
  <si>
    <t>Geraadpleegd via: https://opendisdata.nza.nl/#start</t>
  </si>
  <si>
    <t>Declaratiecode</t>
  </si>
  <si>
    <t>Zorgproduct</t>
  </si>
  <si>
    <t>Omschrijving</t>
  </si>
  <si>
    <t>Dis-tarieven</t>
  </si>
  <si>
    <t>15B004</t>
  </si>
  <si>
    <t>1 of 2 polikliniekbezoeken/ consultaties op afstand bij een chronische ontsteking van de dikke darm (ziekte van Crohn)</t>
  </si>
  <si>
    <t>15B005</t>
  </si>
  <si>
    <t>Meer dan 2 polikliniekbezoeken/ consultaties op afstand en/of meer dan 2 onderzoeken en/of maximaal 1 dagbehandeling bij een chronische ontsteking van de dikke darm (ziekte van Crohn)</t>
  </si>
  <si>
    <t>Verschil</t>
  </si>
  <si>
    <t>15B001</t>
  </si>
  <si>
    <t xml:space="preserve">1 of 2 polikliniekbezoeken/ consultaties op afstand bij een chronische ontsteking van de dikke darm (colitis ulcerosa) </t>
  </si>
  <si>
    <t>15B002</t>
  </si>
  <si>
    <t>Meer dan 2 polikliniekbezoeken/ consultaties op afstand en/of meer dan 2 onderzoeken en/of maximaal 1 dagbehandeling bij een chronische ontsteking van de dikke darm (colitis ulcerosa)</t>
  </si>
  <si>
    <t>14E328</t>
  </si>
  <si>
    <t>1 of 2 polikliniekbezoeken/ consultaties op afstand bij reuma (bij kind)</t>
  </si>
  <si>
    <t>14E329</t>
  </si>
  <si>
    <t>Behandeling of onderzoek en/of meer dan 2 polikliniekbezoeken/ consultaties op afstand en/of 1 dagbehandeling bij reuma (bij kind)</t>
  </si>
  <si>
    <t>14E330</t>
  </si>
  <si>
    <t>Behandeling of onderzoek en/of meer dan 2 polikliniekbezoeken/ consultaties op afstand en/of 1 dagbehandeling met bijzondere activiteiten bij reuma (bij kind)</t>
  </si>
  <si>
    <t>14D981</t>
  </si>
  <si>
    <t>1 of 2 polikliniekbezoeken/ consultaties op afstand bij een aandoening van maag/ darm/ lever (bij kind)</t>
  </si>
  <si>
    <t>14D982</t>
  </si>
  <si>
    <t>Behandeling of onderzoek en/of meer dan 2 polikliniekbezoeken/ consultaties op afstand en/of dagbehandeling bij een aandoening van maag/ darm/ lever (bij kind)</t>
  </si>
  <si>
    <t>14D983</t>
  </si>
  <si>
    <t>Behandeling of onderzoek en/of meer dan 2 polikliniekbezoeken/ consultaties op afstand en/of dagbehandeling met bijzondere activiteiten bij een aandoening van maag/ darm/ lever (bij kind)</t>
  </si>
  <si>
    <t>14D999</t>
  </si>
  <si>
    <t>1 of 2 polikliniekbezoeken/ consultaties op afstand bij problemen met de stoelgang (obstipatie) bij kind</t>
  </si>
  <si>
    <t>14E001</t>
  </si>
  <si>
    <t>Behandeling of onderzoek en/of meer dan 2 polikliniekbezoeken/ consultaties op afstand en/of dagbehandeling bij problemen met de stoelgang (obstipatie) bij kind</t>
  </si>
  <si>
    <t>14E002</t>
  </si>
  <si>
    <t>Behandeling of onderzoek en/of meer dan 2 polikliniekbezoeken/ consultaties op afstand en/of dagbehandeling met bijzondere activiteiten bij problemen met de stoelgang (obstipatie) bij kind</t>
  </si>
  <si>
    <t>niet bepaald</t>
  </si>
  <si>
    <t>14D989</t>
  </si>
  <si>
    <t>1 of 2 polikliniekbezoeken/ consultaties op afstand bij buikpijn (bij kind)</t>
  </si>
  <si>
    <t>14D990</t>
  </si>
  <si>
    <t>Behandeling of onderzoek en/of meer dan 2 polikliniekbezoeken/ consultaties op afstand en/of dagbehandeling bij buikpijn (bij kind)</t>
  </si>
  <si>
    <t>14D991</t>
  </si>
  <si>
    <t>Behandeling of onderzoek en/of meer dan 2 polikliniekbezoeken/ consultaties op afstand en/of dagbehandeling met bijzondere activiteiten bij buikpijn (bij kind)</t>
  </si>
  <si>
    <t>14E018</t>
  </si>
  <si>
    <t>1 of 2 polikliniekbezoeken/ consultaties op afstand bij een ontsteking van de darm (bij kind)</t>
  </si>
  <si>
    <t>14E019</t>
  </si>
  <si>
    <t>Behandeling of onderzoek en/of meer dan 2 polikliniekbezoeken/ consultaties op afstand en/of dagbehandeling bij een ontsteking van de darm (bij kind)</t>
  </si>
  <si>
    <t>14E020</t>
  </si>
  <si>
    <t>Behandeling of onderzoek en/of meer dan 2 polikliniekbezoeken/ consultaties op afstand en/of dagbehandeling met bijzondere activiteiten bij een ontsteking van de darm (bij kind)</t>
  </si>
  <si>
    <t>Gemiddelde van totaal</t>
  </si>
  <si>
    <t>Mediaan van totaal</t>
  </si>
  <si>
    <t>Gemiddelde van kind</t>
  </si>
  <si>
    <t>Mediaan van kind</t>
  </si>
  <si>
    <t>Prijsindexcijfers</t>
  </si>
  <si>
    <t xml:space="preserve">jaartal </t>
  </si>
  <si>
    <t>CPI=Consumentenprijzen; prijsindex 2015=100</t>
  </si>
  <si>
    <t>Ziekenhuis</t>
  </si>
  <si>
    <t>Verpleegkundige</t>
  </si>
  <si>
    <t>Doktersassistent</t>
  </si>
  <si>
    <t>Transferpunt</t>
  </si>
  <si>
    <t>Apotheek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</si>
</sst>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 &quot;€&quot;\ * #,##0_ ;_ &quot;€&quot;\ * \-#,##0_ ;_ &quot;€&quot;\ * &quot;-&quot;??_ ;_ @_ "/>
    <numFmt numFmtId="165" formatCode="&quot;€&quot;\ #,##0.00"/>
  </numFmts>
  <fonts count="21">
    <font>
      <sz val="11"/>
      <color theme="1"/>
      <name val="Aptos Narrow"/>
      <family val="2"/>
      <scheme val="minor"/>
    </font>
    <font>
      <sz val="11"/>
      <color theme="1"/>
      <name val="Aptos Narrow"/>
      <family val="2"/>
      <scheme val="minor"/>
    </font>
    <font>
      <b/>
      <sz val="11"/>
      <color theme="1"/>
      <name val="Aptos Narrow"/>
      <family val="2"/>
      <scheme val="minor"/>
    </font>
    <font>
      <b/>
      <sz val="11"/>
      <color theme="1"/>
      <name val="Arial"/>
      <family val="2"/>
    </font>
    <font>
      <b/>
      <sz val="11"/>
      <color theme="0" tint="-0.34998626667073579"/>
      <name val="Aptos Narrow"/>
      <family val="2"/>
      <scheme val="minor"/>
    </font>
    <font>
      <sz val="10"/>
      <name val="Aptos Narrow"/>
      <family val="2"/>
      <scheme val="minor"/>
    </font>
    <font>
      <sz val="10"/>
      <color theme="1"/>
      <name val="Arial"/>
      <family val="2"/>
    </font>
    <font>
      <b/>
      <sz val="11"/>
      <color theme="0"/>
      <name val="Aptos Narrow"/>
      <family val="2"/>
      <scheme val="minor"/>
    </font>
    <font>
      <sz val="11"/>
      <color theme="0"/>
      <name val="Aptos Narrow"/>
      <family val="2"/>
      <scheme val="minor"/>
    </font>
    <font>
      <b/>
      <sz val="11"/>
      <color theme="0"/>
      <name val="Arial"/>
      <family val="2"/>
    </font>
    <font>
      <u/>
      <sz val="11"/>
      <color theme="10"/>
      <name val="Aptos Narrow"/>
      <family val="2"/>
      <scheme val="minor"/>
    </font>
    <font>
      <b/>
      <sz val="10"/>
      <color theme="0"/>
      <name val="Aptos Narrow"/>
      <family val="2"/>
      <scheme val="minor"/>
    </font>
    <font>
      <sz val="11"/>
      <color theme="1"/>
      <name val="Aptos Narrow"/>
      <family val="2"/>
    </font>
    <font>
      <sz val="11"/>
      <name val="Aptos Narrow"/>
      <family val="2"/>
      <scheme val="minor"/>
    </font>
    <font>
      <sz val="10"/>
      <color theme="1"/>
      <name val="Aptos Narrow"/>
      <family val="2"/>
      <scheme val="minor"/>
    </font>
    <font>
      <b/>
      <sz val="12"/>
      <color theme="1"/>
      <name val="Aptos Narrow"/>
      <family val="2"/>
      <scheme val="minor"/>
    </font>
    <font>
      <sz val="12"/>
      <color theme="1"/>
      <name val="Aptos Narrow"/>
      <family val="2"/>
      <scheme val="minor"/>
    </font>
    <font>
      <b/>
      <sz val="16"/>
      <color theme="0"/>
      <name val="Aptos Narrow"/>
      <family val="2"/>
      <scheme val="minor"/>
    </font>
    <font>
      <b/>
      <sz val="12"/>
      <color theme="0"/>
      <name val="Aptos Narrow"/>
      <family val="2"/>
      <scheme val="minor"/>
    </font>
    <font>
      <b/>
      <sz val="14"/>
      <color theme="0"/>
      <name val="Aptos Narrow"/>
      <family val="2"/>
      <scheme val="minor"/>
    </font>
    <font>
      <b/>
      <sz val="11"/>
      <color rgb="FF006991"/>
      <name val="Aptos Narrow"/>
      <family val="2"/>
      <scheme val="minor"/>
    </font>
  </fonts>
  <fills count="12">
    <fill>
      <patternFill patternType="none"/>
    </fill>
    <fill>
      <patternFill patternType="gray125"/>
    </fill>
    <fill>
      <patternFill patternType="solid">
        <fgColor theme="0"/>
        <bgColor indexed="64"/>
      </patternFill>
    </fill>
    <fill>
      <patternFill patternType="solid">
        <fgColor theme="2" tint="-0.499984740745262"/>
        <bgColor indexed="64"/>
      </patternFill>
    </fill>
    <fill>
      <patternFill patternType="solid">
        <fgColor theme="2" tint="-0.249977111117893"/>
        <bgColor indexed="64"/>
      </patternFill>
    </fill>
    <fill>
      <patternFill patternType="solid">
        <fgColor theme="0" tint="-4.9989318521683403E-2"/>
        <bgColor indexed="64"/>
      </patternFill>
    </fill>
    <fill>
      <patternFill patternType="solid">
        <fgColor theme="2"/>
        <bgColor indexed="64"/>
      </patternFill>
    </fill>
    <fill>
      <patternFill patternType="solid">
        <fgColor theme="3"/>
        <bgColor indexed="64"/>
      </patternFill>
    </fill>
    <fill>
      <patternFill patternType="solid">
        <fgColor theme="3" tint="0.59999389629810485"/>
        <bgColor indexed="64"/>
      </patternFill>
    </fill>
    <fill>
      <patternFill patternType="solid">
        <fgColor rgb="FFF6891B"/>
        <bgColor indexed="64"/>
      </patternFill>
    </fill>
    <fill>
      <patternFill patternType="solid">
        <fgColor rgb="FFFCDCBB"/>
        <bgColor indexed="64"/>
      </patternFill>
    </fill>
    <fill>
      <patternFill patternType="solid">
        <fgColor rgb="FF00BCBC"/>
        <bgColor indexed="64"/>
      </patternFill>
    </fill>
  </fills>
  <borders count="1">
    <border>
      <left/>
      <right/>
      <top/>
      <bottom/>
      <diagonal/>
    </border>
  </borders>
  <cellStyleXfs count="5">
    <xf numFmtId="0" fontId="0" fillId="0" borderId="0"/>
    <xf numFmtId="44" fontId="1" fillId="0" borderId="0" applyFont="0" applyFill="0" applyBorder="0" applyAlignment="0" applyProtection="0"/>
    <xf numFmtId="0" fontId="6" fillId="0" borderId="0"/>
    <xf numFmtId="0" fontId="1" fillId="0" borderId="0"/>
    <xf numFmtId="0" fontId="10" fillId="0" borderId="0" applyNumberFormat="0" applyFill="0" applyBorder="0" applyAlignment="0" applyProtection="0"/>
  </cellStyleXfs>
  <cellXfs count="80">
    <xf numFmtId="0" fontId="0" fillId="0" borderId="0" xfId="0"/>
    <xf numFmtId="0" fontId="3" fillId="0" borderId="0" xfId="0" applyFont="1"/>
    <xf numFmtId="0" fontId="2" fillId="0" borderId="0" xfId="0" applyFont="1"/>
    <xf numFmtId="0" fontId="0" fillId="0" borderId="0" xfId="0" applyAlignment="1">
      <alignment horizontal="left"/>
    </xf>
    <xf numFmtId="0" fontId="4" fillId="0" borderId="0" xfId="0" applyFont="1"/>
    <xf numFmtId="44" fontId="2" fillId="0" borderId="0" xfId="0" applyNumberFormat="1" applyFont="1"/>
    <xf numFmtId="44" fontId="0" fillId="0" borderId="0" xfId="0" applyNumberFormat="1"/>
    <xf numFmtId="164" fontId="2" fillId="0" borderId="0" xfId="0" applyNumberFormat="1" applyFont="1"/>
    <xf numFmtId="164" fontId="0" fillId="0" borderId="0" xfId="0" applyNumberFormat="1"/>
    <xf numFmtId="1" fontId="0" fillId="0" borderId="0" xfId="0" applyNumberFormat="1"/>
    <xf numFmtId="165" fontId="0" fillId="0" borderId="0" xfId="0" applyNumberFormat="1"/>
    <xf numFmtId="0" fontId="9" fillId="3" borderId="0" xfId="0" applyFont="1" applyFill="1"/>
    <xf numFmtId="0" fontId="8" fillId="3" borderId="0" xfId="0" applyFont="1" applyFill="1"/>
    <xf numFmtId="164" fontId="8" fillId="3" borderId="0" xfId="0" applyNumberFormat="1" applyFont="1" applyFill="1"/>
    <xf numFmtId="0" fontId="7" fillId="4" borderId="0" xfId="0" applyFont="1" applyFill="1"/>
    <xf numFmtId="1" fontId="8" fillId="4" borderId="0" xfId="0" applyNumberFormat="1" applyFont="1" applyFill="1"/>
    <xf numFmtId="164" fontId="8" fillId="4" borderId="0" xfId="0" applyNumberFormat="1" applyFont="1" applyFill="1"/>
    <xf numFmtId="44" fontId="8" fillId="4" borderId="0" xfId="0" applyNumberFormat="1" applyFont="1" applyFill="1"/>
    <xf numFmtId="0" fontId="8" fillId="4" borderId="0" xfId="0" applyFont="1" applyFill="1"/>
    <xf numFmtId="10" fontId="8" fillId="4" borderId="0" xfId="0" applyNumberFormat="1" applyFont="1" applyFill="1"/>
    <xf numFmtId="0" fontId="0" fillId="5" borderId="0" xfId="0" applyFill="1"/>
    <xf numFmtId="164" fontId="0" fillId="5" borderId="0" xfId="0" applyNumberFormat="1" applyFill="1"/>
    <xf numFmtId="44" fontId="0" fillId="5" borderId="0" xfId="0" applyNumberFormat="1" applyFill="1"/>
    <xf numFmtId="0" fontId="0" fillId="5" borderId="0" xfId="0" applyFill="1" applyAlignment="1">
      <alignment horizontal="left" indent="2"/>
    </xf>
    <xf numFmtId="0" fontId="0" fillId="6" borderId="0" xfId="0" applyFill="1" applyAlignment="1">
      <alignment horizontal="left" indent="1"/>
    </xf>
    <xf numFmtId="0" fontId="0" fillId="6" borderId="0" xfId="0" applyFill="1"/>
    <xf numFmtId="164" fontId="0" fillId="6" borderId="0" xfId="0" applyNumberFormat="1" applyFill="1"/>
    <xf numFmtId="44" fontId="0" fillId="6" borderId="0" xfId="0" applyNumberFormat="1" applyFill="1"/>
    <xf numFmtId="0" fontId="1" fillId="0" borderId="0" xfId="3"/>
    <xf numFmtId="0" fontId="2" fillId="0" borderId="0" xfId="3" applyFont="1"/>
    <xf numFmtId="0" fontId="2" fillId="5" borderId="0" xfId="3" applyFont="1" applyFill="1"/>
    <xf numFmtId="0" fontId="1" fillId="5" borderId="0" xfId="3" applyFill="1"/>
    <xf numFmtId="0" fontId="1" fillId="5" borderId="0" xfId="3" applyFill="1" applyAlignment="1">
      <alignment horizontal="right"/>
    </xf>
    <xf numFmtId="1" fontId="1" fillId="0" borderId="0" xfId="3" applyNumberFormat="1"/>
    <xf numFmtId="11" fontId="1" fillId="0" borderId="0" xfId="3" applyNumberFormat="1"/>
    <xf numFmtId="4" fontId="2" fillId="5" borderId="0" xfId="3" applyNumberFormat="1" applyFont="1" applyFill="1"/>
    <xf numFmtId="49" fontId="1" fillId="0" borderId="0" xfId="3" applyNumberFormat="1"/>
    <xf numFmtId="0" fontId="1" fillId="0" borderId="0" xfId="3" applyAlignment="1">
      <alignment horizontal="right"/>
    </xf>
    <xf numFmtId="1" fontId="1" fillId="5" borderId="0" xfId="3" applyNumberFormat="1" applyFill="1"/>
    <xf numFmtId="0" fontId="10" fillId="0" borderId="0" xfId="4"/>
    <xf numFmtId="9" fontId="0" fillId="0" borderId="0" xfId="0" applyNumberFormat="1"/>
    <xf numFmtId="1" fontId="0" fillId="6" borderId="0" xfId="0" applyNumberFormat="1" applyFill="1"/>
    <xf numFmtId="0" fontId="11" fillId="7" borderId="0" xfId="2" applyFont="1" applyFill="1" applyAlignment="1">
      <alignment horizontal="left" vertical="top"/>
    </xf>
    <xf numFmtId="0" fontId="6" fillId="7" borderId="0" xfId="2" applyFill="1"/>
    <xf numFmtId="0" fontId="6" fillId="2" borderId="0" xfId="0" applyFont="1" applyFill="1"/>
    <xf numFmtId="0" fontId="11" fillId="8" borderId="0" xfId="2" applyFont="1" applyFill="1" applyAlignment="1">
      <alignment horizontal="left" vertical="top"/>
    </xf>
    <xf numFmtId="0" fontId="11" fillId="8" borderId="0" xfId="0" applyFont="1" applyFill="1" applyAlignment="1">
      <alignment horizontal="left"/>
    </xf>
    <xf numFmtId="0" fontId="5" fillId="2" borderId="0" xfId="0" applyFont="1" applyFill="1" applyAlignment="1">
      <alignment horizontal="left"/>
    </xf>
    <xf numFmtId="1" fontId="0" fillId="0" borderId="0" xfId="0" applyNumberFormat="1" applyAlignment="1">
      <alignment horizontal="right"/>
    </xf>
    <xf numFmtId="10" fontId="0" fillId="0" borderId="0" xfId="0" applyNumberFormat="1"/>
    <xf numFmtId="165" fontId="13" fillId="0" borderId="0" xfId="1" applyNumberFormat="1" applyFont="1" applyFill="1" applyAlignment="1">
      <alignment horizontal="right" vertical="top"/>
    </xf>
    <xf numFmtId="44" fontId="13" fillId="0" borderId="0" xfId="1" applyFont="1" applyFill="1" applyAlignment="1">
      <alignment horizontal="right" vertical="top"/>
    </xf>
    <xf numFmtId="2" fontId="14" fillId="0" borderId="0" xfId="0" applyNumberFormat="1" applyFont="1" applyAlignment="1">
      <alignment horizontal="left"/>
    </xf>
    <xf numFmtId="44" fontId="8" fillId="3" borderId="0" xfId="0" applyNumberFormat="1" applyFont="1" applyFill="1"/>
    <xf numFmtId="0" fontId="0" fillId="3" borderId="0" xfId="0" applyFill="1"/>
    <xf numFmtId="0" fontId="7" fillId="3" borderId="0" xfId="0" applyFont="1" applyFill="1"/>
    <xf numFmtId="164" fontId="7" fillId="3" borderId="0" xfId="0" applyNumberFormat="1" applyFont="1" applyFill="1"/>
    <xf numFmtId="0" fontId="13" fillId="0" borderId="0" xfId="0" applyFont="1"/>
    <xf numFmtId="1" fontId="13" fillId="0" borderId="0" xfId="0" applyNumberFormat="1" applyFont="1"/>
    <xf numFmtId="164" fontId="13" fillId="0" borderId="0" xfId="0" applyNumberFormat="1" applyFont="1"/>
    <xf numFmtId="0" fontId="16" fillId="9" borderId="0" xfId="0" applyFont="1" applyFill="1"/>
    <xf numFmtId="0" fontId="15" fillId="9" borderId="0" xfId="0" applyFont="1" applyFill="1" applyAlignment="1">
      <alignment horizontal="left" textRotation="45" wrapText="1"/>
    </xf>
    <xf numFmtId="0" fontId="16" fillId="10" borderId="0" xfId="0" applyFont="1" applyFill="1"/>
    <xf numFmtId="0" fontId="15" fillId="10" borderId="0" xfId="0" applyFont="1" applyFill="1" applyAlignment="1">
      <alignment horizontal="left" textRotation="45" wrapText="1"/>
    </xf>
    <xf numFmtId="164" fontId="15" fillId="10" borderId="0" xfId="0" applyNumberFormat="1" applyFont="1" applyFill="1" applyAlignment="1">
      <alignment horizontal="left" wrapText="1"/>
    </xf>
    <xf numFmtId="44" fontId="15" fillId="10" borderId="0" xfId="0" applyNumberFormat="1" applyFont="1" applyFill="1" applyAlignment="1">
      <alignment horizontal="left" wrapText="1"/>
    </xf>
    <xf numFmtId="0" fontId="19" fillId="9" borderId="0" xfId="0" applyFont="1" applyFill="1" applyAlignment="1">
      <alignment horizontal="left" vertical="center"/>
    </xf>
    <xf numFmtId="164" fontId="18" fillId="9" borderId="0" xfId="0" applyNumberFormat="1" applyFont="1" applyFill="1" applyAlignment="1">
      <alignment horizontal="left" vertical="center" wrapText="1"/>
    </xf>
    <xf numFmtId="0" fontId="18" fillId="9" borderId="0" xfId="0" applyFont="1" applyFill="1" applyAlignment="1">
      <alignment horizontal="left" vertical="center" wrapText="1"/>
    </xf>
    <xf numFmtId="0" fontId="18" fillId="9" borderId="0" xfId="0" applyFont="1" applyFill="1" applyAlignment="1">
      <alignment horizontal="left" vertical="center" textRotation="45" wrapText="1"/>
    </xf>
    <xf numFmtId="0" fontId="17" fillId="11" borderId="0" xfId="0" applyFont="1" applyFill="1" applyAlignment="1">
      <alignment horizontal="left" vertical="center"/>
    </xf>
    <xf numFmtId="0" fontId="0" fillId="11" borderId="0" xfId="0" applyFill="1" applyAlignment="1">
      <alignment horizontal="left" vertical="center"/>
    </xf>
    <xf numFmtId="0" fontId="2" fillId="11" borderId="0" xfId="0" applyFont="1" applyFill="1" applyAlignment="1">
      <alignment horizontal="left" vertical="center"/>
    </xf>
    <xf numFmtId="164" fontId="0" fillId="11" borderId="0" xfId="0" applyNumberFormat="1" applyFill="1" applyAlignment="1">
      <alignment horizontal="left" vertical="center"/>
    </xf>
    <xf numFmtId="44" fontId="0" fillId="11" borderId="0" xfId="0" applyNumberFormat="1" applyFill="1" applyAlignment="1">
      <alignment horizontal="left" vertical="center"/>
    </xf>
    <xf numFmtId="0" fontId="0" fillId="0" borderId="0" xfId="0" applyAlignment="1">
      <alignment horizontal="left" vertical="center"/>
    </xf>
    <xf numFmtId="0" fontId="17" fillId="11" borderId="0" xfId="0" applyFont="1" applyFill="1" applyAlignment="1">
      <alignment horizontal="left" vertical="center" indent="1"/>
    </xf>
    <xf numFmtId="0" fontId="20" fillId="0" borderId="0" xfId="0" applyFont="1"/>
    <xf numFmtId="0" fontId="0" fillId="0" borderId="0" xfId="3" applyFont="1"/>
    <xf numFmtId="0" fontId="2" fillId="0" borderId="0" xfId="0" applyFont="1" applyAlignment="1">
      <alignment horizontal="left" textRotation="45" wrapText="1"/>
    </xf>
  </cellXfs>
  <cellStyles count="5">
    <cellStyle name="Hyperlink" xfId="4" builtinId="8"/>
    <cellStyle name="Standaard" xfId="0" builtinId="0"/>
    <cellStyle name="Standaard 4" xfId="2" xr:uid="{055AD94A-8D1E-4491-9BCA-88F9C0BFAF3B}"/>
    <cellStyle name="Standaard 5" xfId="3" xr:uid="{6064D540-E0C1-420F-BAD9-0865CA1A3B47}"/>
    <cellStyle name="Valuta" xfId="1" builtinId="4"/>
  </cellStyles>
  <dxfs count="0"/>
  <tableStyles count="0" defaultTableStyle="TableStyleMedium2" defaultPivotStyle="PivotStyleLight16"/>
  <colors>
    <mruColors>
      <color rgb="FF006991"/>
      <color rgb="FFCAEBEE"/>
      <color rgb="FF00BCBC"/>
      <color rgb="FFFCDCBB"/>
      <color rgb="FFF6891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microsoft.com/office/2017/10/relationships/person" Target="persons/person.xml"/><Relationship Id="rId5" Type="http://schemas.openxmlformats.org/officeDocument/2006/relationships/externalLink" Target="externalLinks/externalLink1.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0</xdr:col>
      <xdr:colOff>83344</xdr:colOff>
      <xdr:row>5</xdr:row>
      <xdr:rowOff>130970</xdr:rowOff>
    </xdr:from>
    <xdr:to>
      <xdr:col>0</xdr:col>
      <xdr:colOff>7715250</xdr:colOff>
      <xdr:row>17</xdr:row>
      <xdr:rowOff>23812</xdr:rowOff>
    </xdr:to>
    <xdr:sp macro="" textlink="">
      <xdr:nvSpPr>
        <xdr:cNvPr id="2" name="Tekstvak 1">
          <a:extLst>
            <a:ext uri="{FF2B5EF4-FFF2-40B4-BE49-F238E27FC236}">
              <a16:creationId xmlns:a16="http://schemas.microsoft.com/office/drawing/2014/main" id="{2B3AF637-23C2-F265-1815-9156EC7835D0}"/>
            </a:ext>
          </a:extLst>
        </xdr:cNvPr>
        <xdr:cNvSpPr txBox="1"/>
      </xdr:nvSpPr>
      <xdr:spPr>
        <a:xfrm>
          <a:off x="83344" y="2000251"/>
          <a:ext cx="7631906" cy="2202655"/>
        </a:xfrm>
        <a:prstGeom prst="rect">
          <a:avLst/>
        </a:prstGeom>
        <a:solidFill>
          <a:srgbClr val="CAEBEE"/>
        </a:solidFill>
        <a:ln w="9525" cmpd="sng">
          <a:solidFill>
            <a:srgbClr val="CAEBEE"/>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a:solidFill>
                <a:srgbClr val="006991"/>
              </a:solidFill>
              <a:effectLst/>
              <a:latin typeface="+mn-lt"/>
              <a:ea typeface="+mn-ea"/>
              <a:cs typeface="+mn-cs"/>
            </a:rPr>
            <a:t>Aanpak:</a:t>
          </a:r>
        </a:p>
        <a:p>
          <a:r>
            <a:rPr lang="nl-NL"/>
            <a:t>De aanpak volgt de richtlijnen uit de </a:t>
          </a:r>
          <a:r>
            <a:rPr lang="nl-NL" i="1"/>
            <a:t>Kostenhandleiding voor economische evaluaties in de gezondheidszorg</a:t>
          </a:r>
          <a:r>
            <a:rPr lang="nl-NL"/>
            <a:t>. In dit kader is een </a:t>
          </a:r>
          <a:r>
            <a:rPr lang="nl-NL" i="1"/>
            <a:t>bottom-up microcostingmethode</a:t>
          </a:r>
          <a:r>
            <a:rPr lang="nl-NL"/>
            <a:t> toegepast, waarbij alle relevante zorgcomponenten voor individuele patiënten worden geïdentificeerd en afzonderlijk gewaardeerd. De focus lag daarbij op de zorgcomponenten die daadwerkelijk veranderen tussen de behandelingssettings. Zo zijn bijvoorbeeld de kosten van medicijnen en artsensupervisie niet meegenomen in de analyse, aangezien deze kosten bij toediening thuis hetzelfde zijn als bij toediening in het ziekenhuis.</a:t>
          </a:r>
        </a:p>
        <a:p>
          <a:r>
            <a:rPr lang="nl-NL"/>
            <a:t>Waar mogelijk zijn referentieprijzen gebruikt voor de waardering van de zorgcomponenten. In gevallen waar deze prijzen niet beschikbaar waren, zijn alternatieve openbare (wetenschappelijke) bronnen geraadpleegd. De gebruikte bronnen zijn bij de inputs vermeld.</a:t>
          </a:r>
        </a:p>
        <a:p>
          <a:r>
            <a:rPr lang="nl-NL"/>
            <a:t>Naast de </a:t>
          </a:r>
          <a:r>
            <a:rPr lang="nl-NL" i="1"/>
            <a:t>bottom-up microcostingmethode</a:t>
          </a:r>
          <a:r>
            <a:rPr lang="nl-NL"/>
            <a:t> zijn de medische kosten ook berekend op basis van de maximale tarieven. Het verschil in kosten op basis van de maximale tarieven tussen thuisbehandeling en ziekenhuisbehandeling </a:t>
          </a:r>
          <a:r>
            <a:rPr lang="nl-NL" sz="1100" b="0" baseline="0">
              <a:solidFill>
                <a:schemeClr val="dk1"/>
              </a:solidFill>
              <a:effectLst/>
              <a:latin typeface="+mn-lt"/>
              <a:ea typeface="+mn-ea"/>
              <a:cs typeface="+mn-cs"/>
            </a:rPr>
            <a:t>(9,6k-4,5k=5,1k)</a:t>
          </a:r>
          <a:r>
            <a:rPr lang="nl-NL" sz="1100" b="0">
              <a:solidFill>
                <a:schemeClr val="dk1"/>
              </a:solidFill>
              <a:effectLst/>
              <a:latin typeface="+mn-lt"/>
              <a:ea typeface="+mn-ea"/>
              <a:cs typeface="+mn-cs"/>
            </a:rPr>
            <a:t> </a:t>
          </a:r>
          <a:r>
            <a:rPr lang="nl-NL"/>
            <a:t>komt overeen met het verschil in kosten op basis van de </a:t>
          </a:r>
          <a:r>
            <a:rPr lang="nl-NL" i="1"/>
            <a:t>bottom-up analyse</a:t>
          </a:r>
          <a:r>
            <a:rPr lang="nl-NL" sz="1100" b="0" baseline="0">
              <a:solidFill>
                <a:schemeClr val="dk1"/>
              </a:solidFill>
              <a:effectLst/>
              <a:latin typeface="+mn-lt"/>
              <a:ea typeface="+mn-ea"/>
              <a:cs typeface="+mn-cs"/>
            </a:rPr>
            <a:t> (8,5k-3k = 5,5K).</a:t>
          </a:r>
          <a:endParaRPr lang="nl-NL" sz="1100" b="0">
            <a:solidFill>
              <a:schemeClr val="dk1"/>
            </a:solidFill>
            <a:effectLst/>
            <a:latin typeface="+mn-lt"/>
            <a:ea typeface="+mn-ea"/>
            <a:cs typeface="+mn-cs"/>
          </a:endParaRPr>
        </a:p>
        <a:p>
          <a:r>
            <a:rPr lang="nl-NL" sz="1100">
              <a:solidFill>
                <a:schemeClr val="dk1"/>
              </a:solidFill>
              <a:effectLst/>
              <a:latin typeface="+mn-lt"/>
              <a:ea typeface="+mn-ea"/>
              <a:cs typeface="+mn-cs"/>
            </a:rPr>
            <a:t> </a:t>
          </a:r>
        </a:p>
        <a:p>
          <a:endParaRPr lang="nl-NL" sz="1100" kern="1200"/>
        </a:p>
      </xdr:txBody>
    </xdr:sp>
    <xdr:clientData/>
  </xdr:twoCellAnchor>
  <xdr:twoCellAnchor>
    <xdr:from>
      <xdr:col>0</xdr:col>
      <xdr:colOff>80960</xdr:colOff>
      <xdr:row>17</xdr:row>
      <xdr:rowOff>92867</xdr:rowOff>
    </xdr:from>
    <xdr:to>
      <xdr:col>0</xdr:col>
      <xdr:colOff>7715249</xdr:colOff>
      <xdr:row>30</xdr:row>
      <xdr:rowOff>11904</xdr:rowOff>
    </xdr:to>
    <xdr:sp macro="" textlink="">
      <xdr:nvSpPr>
        <xdr:cNvPr id="3" name="Tekstvak 2">
          <a:extLst>
            <a:ext uri="{FF2B5EF4-FFF2-40B4-BE49-F238E27FC236}">
              <a16:creationId xmlns:a16="http://schemas.microsoft.com/office/drawing/2014/main" id="{71D84C89-B0D4-4B3A-842E-0674DEB0E3F1}"/>
            </a:ext>
          </a:extLst>
        </xdr:cNvPr>
        <xdr:cNvSpPr txBox="1"/>
      </xdr:nvSpPr>
      <xdr:spPr>
        <a:xfrm>
          <a:off x="80960" y="4271961"/>
          <a:ext cx="7634289" cy="2859881"/>
        </a:xfrm>
        <a:prstGeom prst="rect">
          <a:avLst/>
        </a:prstGeom>
        <a:solidFill>
          <a:srgbClr val="CAEBEE"/>
        </a:solidFill>
        <a:ln w="9525" cmpd="sng">
          <a:solidFill>
            <a:srgbClr val="CAEBEE"/>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a:solidFill>
                <a:srgbClr val="006991"/>
              </a:solidFill>
              <a:effectLst/>
              <a:latin typeface="+mn-lt"/>
              <a:ea typeface="+mn-ea"/>
              <a:cs typeface="+mn-cs"/>
            </a:rPr>
            <a:t>Toelichting</a:t>
          </a:r>
          <a:r>
            <a:rPr lang="nl-NL" sz="1100" b="1" baseline="0">
              <a:solidFill>
                <a:srgbClr val="006991"/>
              </a:solidFill>
              <a:effectLst/>
              <a:latin typeface="+mn-lt"/>
              <a:ea typeface="+mn-ea"/>
              <a:cs typeface="+mn-cs"/>
            </a:rPr>
            <a:t> medische kosten:</a:t>
          </a:r>
          <a:endParaRPr lang="nl-NL" sz="1100" b="1">
            <a:solidFill>
              <a:srgbClr val="006991"/>
            </a:solidFill>
            <a:effectLst/>
            <a:latin typeface="+mn-lt"/>
            <a:ea typeface="+mn-ea"/>
            <a:cs typeface="+mn-cs"/>
          </a:endParaRPr>
        </a:p>
        <a:p>
          <a:r>
            <a:rPr lang="nl-NL"/>
            <a:t>Bij de medische kosten is zowel gekeken naar de financiële kosten als naar de inschatting van het benodigde zorgpersoneel. De uren van zorgpersoneel zijn ingeschat op basis van de betrokken zorgprofessionals bij de pilot.</a:t>
          </a:r>
        </a:p>
        <a:p>
          <a:r>
            <a:rPr lang="nl-NL"/>
            <a:t>Onder kosten voor middelen vallen de consumables voor de IV-toediening en de huur van een pomp voor thuis. Kosten voor ruimte betreffen de kosten van de dagbehandelingsruimte in het ziekenhuis, inclusief inrichting.</a:t>
          </a:r>
        </a:p>
        <a:p>
          <a:r>
            <a:rPr lang="nl-NL"/>
            <a:t>Directe kosten zijn alle kosten die direct verband houden met de toediening, zoals personeelskosten, middelen en ruimte. Over deze directe kosten is een percentage gerekend voor indirecte kosten, zoals kosten voor management, ondersteunend personeel en hun werkruimtes.</a:t>
          </a:r>
        </a:p>
        <a:p>
          <a:r>
            <a:rPr lang="nl-NL"/>
            <a:t>Daarnaast zijn de extra kosten berekend die ontstaan wanneer de toediening van het medicijn naar huis wordt verplaatst. Dit betreft de kosten voor een noodpakket voor mogelijke reacties tijdens de toediening, bijkomende apotheekkosten doordat het medicijn op maat voor thuislevering wordt klaargemaakt in plaats van in bulk voor de afdeling, en extra kosten voor transferverpleegkundigen die het contact tussen ziekenhuis en thuiszorg coördineren.</a:t>
          </a:r>
        </a:p>
        <a:p>
          <a:r>
            <a:rPr lang="nl-NL"/>
            <a:t>Deze kosten worden zowel bij het maximaal tarief als de </a:t>
          </a:r>
          <a:r>
            <a:rPr lang="nl-NL" i="1"/>
            <a:t>bottom-up</a:t>
          </a:r>
          <a:r>
            <a:rPr lang="nl-NL"/>
            <a:t> analyse voor de toediening</a:t>
          </a:r>
          <a:r>
            <a:rPr lang="nl-NL" baseline="0"/>
            <a:t> thuis</a:t>
          </a:r>
          <a:r>
            <a:rPr lang="nl-NL"/>
            <a:t> meegenomen, omdat ze extra kosten voor het ziekenhuis (inclusief de apotheek) vertegenwoordigen. Hoewel deze kosten niet los gedeclareerd worden, maar onder een maximaal tarief</a:t>
          </a:r>
          <a:r>
            <a:rPr lang="nl-NL" baseline="0"/>
            <a:t> voor het zorgproduct</a:t>
          </a:r>
          <a:r>
            <a:rPr lang="nl-NL"/>
            <a:t> vallen, worden ze in beide analyses expliciet benoemd om inzichtelijk te maken dat de kostprijs van deze zorg toeneemt door de verplaatsing van de toediening naar huis.</a:t>
          </a:r>
        </a:p>
        <a:p>
          <a:endParaRPr lang="nl-NL" sz="1100" kern="1200"/>
        </a:p>
      </xdr:txBody>
    </xdr:sp>
    <xdr:clientData/>
  </xdr:twoCellAnchor>
  <xdr:twoCellAnchor>
    <xdr:from>
      <xdr:col>0</xdr:col>
      <xdr:colOff>83342</xdr:colOff>
      <xdr:row>1</xdr:row>
      <xdr:rowOff>83343</xdr:rowOff>
    </xdr:from>
    <xdr:to>
      <xdr:col>0</xdr:col>
      <xdr:colOff>7703342</xdr:colOff>
      <xdr:row>5</xdr:row>
      <xdr:rowOff>59530</xdr:rowOff>
    </xdr:to>
    <xdr:sp macro="" textlink="">
      <xdr:nvSpPr>
        <xdr:cNvPr id="4" name="Tekstvak 3">
          <a:extLst>
            <a:ext uri="{FF2B5EF4-FFF2-40B4-BE49-F238E27FC236}">
              <a16:creationId xmlns:a16="http://schemas.microsoft.com/office/drawing/2014/main" id="{A4601841-9760-490A-90D5-95D873D9486B}"/>
            </a:ext>
          </a:extLst>
        </xdr:cNvPr>
        <xdr:cNvSpPr txBox="1"/>
      </xdr:nvSpPr>
      <xdr:spPr>
        <a:xfrm>
          <a:off x="83342" y="452437"/>
          <a:ext cx="7620000" cy="1476374"/>
        </a:xfrm>
        <a:prstGeom prst="rect">
          <a:avLst/>
        </a:prstGeom>
        <a:solidFill>
          <a:srgbClr val="CAEBEE"/>
        </a:solidFill>
        <a:ln w="9525" cmpd="sng">
          <a:solidFill>
            <a:srgbClr val="CAEBEE"/>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a:solidFill>
                <a:srgbClr val="006991"/>
              </a:solidFill>
              <a:effectLst/>
              <a:latin typeface="+mn-lt"/>
              <a:ea typeface="+mn-ea"/>
              <a:cs typeface="+mn-cs"/>
            </a:rPr>
            <a:t>Aanleiding</a:t>
          </a:r>
          <a:r>
            <a:rPr lang="nl-NL" sz="1100" b="1" baseline="0">
              <a:solidFill>
                <a:srgbClr val="006991"/>
              </a:solidFill>
              <a:effectLst/>
              <a:latin typeface="+mn-lt"/>
              <a:ea typeface="+mn-ea"/>
              <a:cs typeface="+mn-cs"/>
            </a:rPr>
            <a:t> en context</a:t>
          </a:r>
          <a:r>
            <a:rPr lang="nl-NL" sz="1100" b="1">
              <a:solidFill>
                <a:srgbClr val="006991"/>
              </a:solidFill>
              <a:effectLst/>
              <a:latin typeface="+mn-lt"/>
              <a:ea typeface="+mn-ea"/>
              <a:cs typeface="+mn-cs"/>
            </a:rPr>
            <a:t>:</a:t>
          </a:r>
        </a:p>
        <a:p>
          <a:r>
            <a:rPr lang="nl-NL"/>
            <a:t>Deze kostenevaluatie is opgesteld voor een pilot waarin een intraveneus geneesmiddel, dat voorheen elke vier weken op de dagbehandeling werd toegediend, nu thuis wordt toegediend. De kinderen in de pilot krijgen jaarlijks gemiddeld 13 toedieningen, terwijl het verdere medische traject, zoals poli-afspraken, ongewijzigd blijft. De enige verandering is de verplaatsing van de intraveneuze toediening van het ziekenhuis naar thuis.</a:t>
          </a:r>
        </a:p>
        <a:p>
          <a:r>
            <a:rPr lang="nl-NL"/>
            <a:t>Hoewel deze evaluatie specifiek voor deze pilot is uitgevoerd, is de gehanteerde methodiek breed toepasbaar voor andere medicamenten met vergelijkbare behandelschema’s. Vergelijkbare resultaten worden dan ook verwacht bij toepassing in andere zorgpaden.</a:t>
          </a:r>
        </a:p>
        <a:p>
          <a:endParaRPr lang="nl-NL" sz="1100" kern="1200"/>
        </a:p>
      </xdr:txBody>
    </xdr:sp>
    <xdr:clientData/>
  </xdr:twoCellAnchor>
  <xdr:twoCellAnchor>
    <xdr:from>
      <xdr:col>0</xdr:col>
      <xdr:colOff>83344</xdr:colOff>
      <xdr:row>30</xdr:row>
      <xdr:rowOff>83343</xdr:rowOff>
    </xdr:from>
    <xdr:to>
      <xdr:col>0</xdr:col>
      <xdr:colOff>7727156</xdr:colOff>
      <xdr:row>37</xdr:row>
      <xdr:rowOff>95249</xdr:rowOff>
    </xdr:to>
    <xdr:sp macro="" textlink="">
      <xdr:nvSpPr>
        <xdr:cNvPr id="5" name="Tekstvak 4">
          <a:extLst>
            <a:ext uri="{FF2B5EF4-FFF2-40B4-BE49-F238E27FC236}">
              <a16:creationId xmlns:a16="http://schemas.microsoft.com/office/drawing/2014/main" id="{450A34A6-C69B-4CBD-B66B-8E22A392E834}"/>
            </a:ext>
          </a:extLst>
        </xdr:cNvPr>
        <xdr:cNvSpPr txBox="1"/>
      </xdr:nvSpPr>
      <xdr:spPr>
        <a:xfrm>
          <a:off x="83344" y="7203281"/>
          <a:ext cx="7643812" cy="1297781"/>
        </a:xfrm>
        <a:prstGeom prst="rect">
          <a:avLst/>
        </a:prstGeom>
        <a:solidFill>
          <a:srgbClr val="CAEBEE"/>
        </a:solidFill>
        <a:ln w="9525" cmpd="sng">
          <a:solidFill>
            <a:srgbClr val="CAEBEE"/>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a:solidFill>
                <a:srgbClr val="006991"/>
              </a:solidFill>
              <a:effectLst/>
              <a:latin typeface="+mn-lt"/>
              <a:ea typeface="+mn-ea"/>
              <a:cs typeface="+mn-cs"/>
            </a:rPr>
            <a:t>Toelichting</a:t>
          </a:r>
          <a:r>
            <a:rPr lang="nl-NL" sz="1100" b="1" baseline="0">
              <a:solidFill>
                <a:srgbClr val="006991"/>
              </a:solidFill>
              <a:effectLst/>
              <a:latin typeface="+mn-lt"/>
              <a:ea typeface="+mn-ea"/>
              <a:cs typeface="+mn-cs"/>
            </a:rPr>
            <a:t> reiskosten:</a:t>
          </a:r>
          <a:endParaRPr lang="nl-NL" sz="1100" b="1">
            <a:solidFill>
              <a:srgbClr val="006991"/>
            </a:solidFill>
            <a:effectLst/>
            <a:latin typeface="+mn-lt"/>
            <a:ea typeface="+mn-ea"/>
            <a:cs typeface="+mn-cs"/>
          </a:endParaRPr>
        </a:p>
        <a:p>
          <a:r>
            <a:rPr lang="nl-NL"/>
            <a:t>Bij toediening in het ziekenhuis maken de ouders van het kind kosten voor het parkeren en het rijden naar het ziekenhuis. Deze kosten zijn gebaseerd op de gemiddelde afstand van de kinderen van het Amalia Kinderziekenhuis tot het ziekenhuis.</a:t>
          </a:r>
        </a:p>
        <a:p>
          <a:r>
            <a:rPr lang="nl-NL"/>
            <a:t>Wanneer de zorg naar huis wordt verplaatst, maken de ouders geen reiskosten meer, maar komen deze kosten nu voor rekening van de kinderthuiszorg en de apotheek. In totaal worden er nog steeds evenveel kilometers gereden, maar in de nieuwe situatie zijn het de thuiszorg</a:t>
          </a:r>
          <a:r>
            <a:rPr lang="nl-NL" baseline="0"/>
            <a:t> en de apotheek</a:t>
          </a:r>
          <a:r>
            <a:rPr lang="nl-NL"/>
            <a:t> die de kilometers maken, in plaats van de gezinnen.</a:t>
          </a:r>
          <a:endParaRPr lang="nl-NL" sz="1100" kern="1200"/>
        </a:p>
      </xdr:txBody>
    </xdr:sp>
    <xdr:clientData/>
  </xdr:twoCellAnchor>
  <xdr:twoCellAnchor>
    <xdr:from>
      <xdr:col>0</xdr:col>
      <xdr:colOff>95251</xdr:colOff>
      <xdr:row>37</xdr:row>
      <xdr:rowOff>178594</xdr:rowOff>
    </xdr:from>
    <xdr:to>
      <xdr:col>0</xdr:col>
      <xdr:colOff>7739062</xdr:colOff>
      <xdr:row>40</xdr:row>
      <xdr:rowOff>547687</xdr:rowOff>
    </xdr:to>
    <xdr:sp macro="" textlink="">
      <xdr:nvSpPr>
        <xdr:cNvPr id="6" name="Tekstvak 5">
          <a:extLst>
            <a:ext uri="{FF2B5EF4-FFF2-40B4-BE49-F238E27FC236}">
              <a16:creationId xmlns:a16="http://schemas.microsoft.com/office/drawing/2014/main" id="{746E6647-7094-4C58-A059-CE064F11E162}"/>
            </a:ext>
          </a:extLst>
        </xdr:cNvPr>
        <xdr:cNvSpPr txBox="1"/>
      </xdr:nvSpPr>
      <xdr:spPr>
        <a:xfrm>
          <a:off x="95251" y="8584407"/>
          <a:ext cx="7643811" cy="940593"/>
        </a:xfrm>
        <a:prstGeom prst="rect">
          <a:avLst/>
        </a:prstGeom>
        <a:solidFill>
          <a:srgbClr val="CAEBEE"/>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a:solidFill>
                <a:srgbClr val="006991"/>
              </a:solidFill>
              <a:effectLst/>
              <a:latin typeface="+mn-lt"/>
              <a:ea typeface="+mn-ea"/>
              <a:cs typeface="+mn-cs"/>
            </a:rPr>
            <a:t>Toelichting</a:t>
          </a:r>
          <a:r>
            <a:rPr lang="nl-NL" sz="1100" b="1" baseline="0">
              <a:solidFill>
                <a:srgbClr val="006991"/>
              </a:solidFill>
              <a:effectLst/>
              <a:latin typeface="+mn-lt"/>
              <a:ea typeface="+mn-ea"/>
              <a:cs typeface="+mn-cs"/>
            </a:rPr>
            <a:t> productiviteitsverlies:</a:t>
          </a:r>
          <a:endParaRPr lang="nl-NL" sz="1100" b="1">
            <a:solidFill>
              <a:srgbClr val="006991"/>
            </a:solidFill>
            <a:effectLst/>
            <a:latin typeface="+mn-lt"/>
            <a:ea typeface="+mn-ea"/>
            <a:cs typeface="+mn-cs"/>
          </a:endParaRPr>
        </a:p>
        <a:p>
          <a:r>
            <a:rPr lang="nl-NL"/>
            <a:t>Bij toediening in het ziekenhuis verliezen de ouders van de kinderen meer tijd, die zij niet kunnen besteden aan betaald of onbetaald werk. Dit levert</a:t>
          </a:r>
          <a:r>
            <a:rPr lang="nl-NL" baseline="0"/>
            <a:t> productiviteitsverlies op. Er is op basis van de pilot de inschatting gedaan dat in de ziekenhuis setting, ouders gemiddeld 3 uur per toediening kwijt zijn en in de thuissituatie slecht 1 uur per toediening. </a:t>
          </a:r>
        </a:p>
        <a:p>
          <a:r>
            <a:rPr lang="nl-NL" baseline="0"/>
            <a:t>Voor de totale kostenevalueties is uitgegaan van het bedrag voor onbetaald werk.  </a:t>
          </a:r>
          <a:endParaRPr lang="nl-NL" sz="1100" kern="1200"/>
        </a:p>
      </xdr:txBody>
    </xdr:sp>
    <xdr:clientData/>
  </xdr:twoCellAnchor>
  <xdr:twoCellAnchor>
    <xdr:from>
      <xdr:col>0</xdr:col>
      <xdr:colOff>92869</xdr:colOff>
      <xdr:row>40</xdr:row>
      <xdr:rowOff>628650</xdr:rowOff>
    </xdr:from>
    <xdr:to>
      <xdr:col>0</xdr:col>
      <xdr:colOff>7739062</xdr:colOff>
      <xdr:row>45</xdr:row>
      <xdr:rowOff>250031</xdr:rowOff>
    </xdr:to>
    <xdr:sp macro="" textlink="">
      <xdr:nvSpPr>
        <xdr:cNvPr id="7" name="Tekstvak 6">
          <a:extLst>
            <a:ext uri="{FF2B5EF4-FFF2-40B4-BE49-F238E27FC236}">
              <a16:creationId xmlns:a16="http://schemas.microsoft.com/office/drawing/2014/main" id="{025A1667-7EF8-48F2-A187-F9AAE55EBA92}"/>
            </a:ext>
          </a:extLst>
        </xdr:cNvPr>
        <xdr:cNvSpPr txBox="1"/>
      </xdr:nvSpPr>
      <xdr:spPr>
        <a:xfrm>
          <a:off x="92869" y="9605963"/>
          <a:ext cx="7646193" cy="1026318"/>
        </a:xfrm>
        <a:prstGeom prst="rect">
          <a:avLst/>
        </a:prstGeom>
        <a:solidFill>
          <a:srgbClr val="CAEBEE"/>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a:solidFill>
                <a:srgbClr val="006991"/>
              </a:solidFill>
              <a:effectLst/>
              <a:latin typeface="+mn-lt"/>
              <a:ea typeface="+mn-ea"/>
              <a:cs typeface="+mn-cs"/>
            </a:rPr>
            <a:t>Toelichting</a:t>
          </a:r>
          <a:r>
            <a:rPr lang="nl-NL" sz="1100" b="1" baseline="0">
              <a:solidFill>
                <a:srgbClr val="006991"/>
              </a:solidFill>
              <a:effectLst/>
              <a:latin typeface="+mn-lt"/>
              <a:ea typeface="+mn-ea"/>
              <a:cs typeface="+mn-cs"/>
            </a:rPr>
            <a:t> gemiste uren school:</a:t>
          </a:r>
          <a:endParaRPr lang="nl-NL" sz="1100" b="1">
            <a:solidFill>
              <a:srgbClr val="006991"/>
            </a:solidFill>
            <a:effectLst/>
            <a:latin typeface="+mn-lt"/>
            <a:ea typeface="+mn-ea"/>
            <a:cs typeface="+mn-cs"/>
          </a:endParaRPr>
        </a:p>
        <a:p>
          <a:r>
            <a:rPr lang="nl-NL"/>
            <a:t>De kinderen missen meer schooluren wanneer zij naar het ziekenhuis moeten voor de toediening van het medicament. Het is ingeschat dat dit in ongeveer de helft van de gevallen binnen de schooluren valt. Bij toediening thuis vindt dit buiten de schooluren plaats.</a:t>
          </a:r>
        </a:p>
        <a:p>
          <a:r>
            <a:rPr lang="nl-NL"/>
            <a:t>Om de gemiste uren in perspectief te plaatsen, zijn deze berekend als percentage van de wettelijke schooluren die een kind op jaarbasis heeft.</a:t>
          </a: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radboudumc-my.sharepoint.com/personal/laura_vanhoutum_radboudumc_nl/Documents/1.%20Projecten/6.%20Maatschappelijke%20BC%20Infliximab/v2%20BIA%20Infliximab.xlsx" TargetMode="External"/><Relationship Id="rId1" Type="http://schemas.openxmlformats.org/officeDocument/2006/relationships/externalLinkPath" Target="https://radboudumc-my.sharepoint.com/personal/laura_vanhoutum_radboudumc_nl/Documents/1.%20Projecten/6.%20Maatschappelijke%20BC%20Infliximab/v2%20BIA%20Infliximab.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kennisinstituut.viadesk.com/NVvH%20-%20Prehabilitatie/2.%20Ontwikkelfase/03.%20Budget%20Impact%20Analyse/2022%2007%2018%20iMTA-costing-tool.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medischspecialisten-my.sharepoint.com/personal/a_vanderhout_kennisinstituut_nl/Documents/ARCHIEF/BIA%20prehabilitatie/2022%2007%2018%20iMTA-costing-too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NZA tarief dagbehandeling"/>
      <sheetName val="Model"/>
      <sheetName val="Vragen Petra"/>
      <sheetName val="Blad1"/>
      <sheetName val="Overview"/>
      <sheetName val="BIA"/>
      <sheetName val="Scen 1 -  ZKH IV - Referentiepr"/>
      <sheetName val="Scen 1 -  ZKH IV - Max NZA tari"/>
      <sheetName val="Scenario 2 - Thuis IV - Referen"/>
      <sheetName val="Scenario 2 - Thuis IV - NZA"/>
      <sheetName val="Sens1-Scen 1 ZKH Ig IV - tarief"/>
      <sheetName val="Sens 1- Scen 2 Thuis - Tarief"/>
      <sheetName val="Scenario 3 Thuis Ig SC"/>
      <sheetName val="Sens1a-scen 1 prodverlies lager"/>
      <sheetName val="Sens1a-scen 2 prodverlies lager"/>
      <sheetName val="Sens1b-scen 1 prodverlies hoog"/>
      <sheetName val="Sens1b-scen 2 prodverlies hoog"/>
      <sheetName val="Sens1b-scen 3 prodverlies hoog"/>
      <sheetName val="Sens2a-scen1 prod VPK laag"/>
      <sheetName val="Sens2a-scen 2 prod VPK laag"/>
      <sheetName val="Sens2b-scen1 prod VPK hoog"/>
      <sheetName val="Sens2b-scen 2 prod VPK hoog"/>
      <sheetName val="Informatie scenarios"/>
      <sheetName val="Kostprijzen v2"/>
      <sheetName val="Kostprijzen"/>
      <sheetName val="Indexatie kostprijzen"/>
      <sheetName val="Afstand tot Radboudumc"/>
      <sheetName val="Dagbehandeling Amali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e"/>
      <sheetName val="Instellingen"/>
      <sheetName val="Referentieprijzen"/>
      <sheetName val="Input KH2015"/>
    </sheetNames>
    <sheetDataSet>
      <sheetData sheetId="0" refreshError="1"/>
      <sheetData sheetId="1" refreshError="1"/>
      <sheetData sheetId="2" refreshError="1"/>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e"/>
      <sheetName val="Instellingen"/>
      <sheetName val="Referentieprijzen"/>
      <sheetName val="Input KH2015"/>
    </sheetNames>
    <sheetDataSet>
      <sheetData sheetId="0"/>
      <sheetData sheetId="1"/>
      <sheetData sheetId="2"/>
      <sheetData sheetId="3"/>
    </sheetDataSet>
  </externalBook>
</externalLink>
</file>

<file path=xl/persons/person.xml><?xml version="1.0" encoding="utf-8"?>
<personList xmlns="http://schemas.microsoft.com/office/spreadsheetml/2018/threadedcomments" xmlns:x="http://schemas.openxmlformats.org/spreadsheetml/2006/main">
  <person displayName="Houtum, Laura van" id="{00D4D699-C2AC-4862-A75F-322D1F3F4AAA}" userId="S::Laura.vanHoutum@radboudumc.nl::2bd40d37-fec8-4fd4-8e6a-b5731d2e2d71" providerId="AD"/>
</personList>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D4" dT="2025-08-11T09:53:25.72" personId="{00D4D699-C2AC-4862-A75F-322D1F3F4AAA}" id="{19D314C7-45AE-4437-B907-4B649D56DE52}">
    <text xml:space="preserve">Van 2024, niet bepaald voor 2025
</text>
  </threadedComment>
</ThreadedComments>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pubmed.ncbi.nlm.nih.gov/32447129/" TargetMode="External"/><Relationship Id="rId1" Type="http://schemas.openxmlformats.org/officeDocument/2006/relationships/hyperlink" Target="https://www.zorginstituutnederland.nl/site/binaries/site-content/collections/documents/2024/01/16/richtlijn-voor-het-uitvoeren-van-economische-evaluaties-in-de-gezondheidszorg/Verdiepingsmodule+Kostenhandleiding+%28versie+2024%29.pdf" TargetMode="Externa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62FB9D-B095-4096-A6C1-2B63042E327D}">
  <dimension ref="A1:AY51"/>
  <sheetViews>
    <sheetView tabSelected="1" zoomScale="80" zoomScaleNormal="80" workbookViewId="0">
      <selection activeCell="O22" sqref="O22 I23 O24"/>
    </sheetView>
  </sheetViews>
  <sheetFormatPr defaultRowHeight="14.45"/>
  <cols>
    <col min="1" max="1" width="102.140625" customWidth="1"/>
    <col min="2" max="2" width="2.5703125" customWidth="1"/>
    <col min="3" max="3" width="55.7109375" customWidth="1"/>
    <col min="4" max="4" width="12.7109375" customWidth="1"/>
    <col min="5" max="5" width="11.28515625" customWidth="1"/>
    <col min="6" max="6" width="17.7109375" style="8" customWidth="1"/>
    <col min="7" max="7" width="11.42578125" customWidth="1"/>
    <col min="8" max="8" width="14.42578125" style="8" customWidth="1"/>
    <col min="9" max="9" width="13.140625" customWidth="1"/>
    <col min="10" max="10" width="13.140625" style="6" customWidth="1"/>
    <col min="11" max="11" width="11.7109375" customWidth="1"/>
    <col min="12" max="12" width="14.140625" style="6" customWidth="1"/>
    <col min="13" max="13" width="3.42578125" customWidth="1"/>
    <col min="14" max="14" width="65.28515625" customWidth="1"/>
    <col min="15" max="15" width="16" customWidth="1"/>
    <col min="16" max="16" width="67.28515625" customWidth="1"/>
  </cols>
  <sheetData>
    <row r="1" spans="1:51" s="75" customFormat="1" ht="29.25" customHeight="1">
      <c r="A1" s="76" t="s">
        <v>0</v>
      </c>
      <c r="B1" s="71"/>
      <c r="C1" s="70" t="s">
        <v>1</v>
      </c>
      <c r="D1" s="72"/>
      <c r="E1" s="71"/>
      <c r="F1" s="73"/>
      <c r="G1" s="71"/>
      <c r="H1" s="73"/>
      <c r="I1" s="71"/>
      <c r="J1" s="74"/>
      <c r="K1" s="71"/>
      <c r="L1" s="74"/>
      <c r="M1" s="71"/>
      <c r="N1" s="70" t="s">
        <v>2</v>
      </c>
      <c r="O1" s="71"/>
      <c r="P1" s="71"/>
      <c r="Q1" s="71"/>
      <c r="R1" s="71"/>
      <c r="S1" s="71"/>
      <c r="T1" s="71"/>
      <c r="U1" s="71"/>
      <c r="V1" s="71"/>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row>
    <row r="2" spans="1:51" ht="66" customHeight="1">
      <c r="E2" s="79" t="s">
        <v>3</v>
      </c>
      <c r="F2" s="79"/>
      <c r="G2" s="79" t="s">
        <v>4</v>
      </c>
      <c r="H2" s="79"/>
      <c r="I2" s="79" t="s">
        <v>5</v>
      </c>
      <c r="J2" s="79"/>
      <c r="K2" s="79" t="s">
        <v>6</v>
      </c>
      <c r="L2" s="79"/>
    </row>
    <row r="3" spans="1:51" ht="18.600000000000001">
      <c r="C3" s="66" t="s">
        <v>7</v>
      </c>
      <c r="D3" s="60"/>
      <c r="E3" s="61"/>
      <c r="F3" s="67">
        <f>SUM(F4:F6)</f>
        <v>11077.94593435812</v>
      </c>
      <c r="G3" s="68"/>
      <c r="H3" s="67">
        <f>H11+F32+F45+F49</f>
        <v>10028.608149166528</v>
      </c>
      <c r="I3" s="69"/>
      <c r="J3" s="67">
        <f>SUM(J4:J6)</f>
        <v>5059.3436887005419</v>
      </c>
      <c r="K3" s="68"/>
      <c r="L3" s="67">
        <f>L11+L32+H45+H49</f>
        <v>3649.273603818232</v>
      </c>
      <c r="N3" s="77" t="s">
        <v>8</v>
      </c>
    </row>
    <row r="4" spans="1:51" ht="16.5" customHeight="1">
      <c r="C4" s="62" t="s">
        <v>9</v>
      </c>
      <c r="D4" s="62"/>
      <c r="E4" s="63"/>
      <c r="F4" s="64">
        <f>F11</f>
        <v>9601.7350000000006</v>
      </c>
      <c r="G4" s="63"/>
      <c r="H4" s="64">
        <f>H11</f>
        <v>8552.3972148084085</v>
      </c>
      <c r="I4" s="63"/>
      <c r="J4" s="64">
        <f>J21+J22+J23+J36</f>
        <v>569.91607433835804</v>
      </c>
      <c r="K4" s="63"/>
      <c r="L4" s="64">
        <f>L21+L22+L23+L36</f>
        <v>565.55275044114182</v>
      </c>
      <c r="N4" t="s">
        <v>10</v>
      </c>
      <c r="O4" t="s">
        <v>11</v>
      </c>
    </row>
    <row r="5" spans="1:51" ht="16.5" customHeight="1">
      <c r="C5" s="62" t="s">
        <v>12</v>
      </c>
      <c r="D5" s="62"/>
      <c r="E5" s="63"/>
      <c r="F5" s="65">
        <v>0</v>
      </c>
      <c r="G5" s="63"/>
      <c r="H5" s="64">
        <v>0</v>
      </c>
      <c r="I5" s="63"/>
      <c r="J5" s="64">
        <f>J12</f>
        <v>4218.5</v>
      </c>
      <c r="K5" s="63"/>
      <c r="L5" s="64">
        <f>L12+L20+L35</f>
        <v>2812.7932390149058</v>
      </c>
    </row>
    <row r="6" spans="1:51" ht="16.5" customHeight="1">
      <c r="C6" s="62" t="s">
        <v>13</v>
      </c>
      <c r="D6" s="62"/>
      <c r="E6" s="63"/>
      <c r="F6" s="64">
        <f>F32+F45+F49</f>
        <v>1476.2109343581192</v>
      </c>
      <c r="G6" s="63"/>
      <c r="H6" s="64">
        <f>F6</f>
        <v>1476.2109343581192</v>
      </c>
      <c r="I6" s="63"/>
      <c r="J6" s="64">
        <f>H45</f>
        <v>270.92761436218399</v>
      </c>
      <c r="K6" s="63"/>
      <c r="L6" s="64">
        <f>H45</f>
        <v>270.92761436218399</v>
      </c>
      <c r="N6" s="77" t="s">
        <v>14</v>
      </c>
    </row>
    <row r="7" spans="1:51" ht="16.5" customHeight="1">
      <c r="N7" s="39" t="s">
        <v>15</v>
      </c>
    </row>
    <row r="8" spans="1:51" ht="16.5" customHeight="1">
      <c r="N8" s="39" t="s">
        <v>16</v>
      </c>
    </row>
    <row r="9" spans="1:51" ht="16.5" customHeight="1">
      <c r="M9" s="8"/>
    </row>
    <row r="10" spans="1:51">
      <c r="D10" t="s">
        <v>17</v>
      </c>
      <c r="E10" s="2" t="s">
        <v>18</v>
      </c>
      <c r="F10" s="7" t="s">
        <v>19</v>
      </c>
      <c r="G10" s="2" t="s">
        <v>18</v>
      </c>
      <c r="H10" s="7" t="s">
        <v>19</v>
      </c>
      <c r="I10" s="2" t="s">
        <v>18</v>
      </c>
      <c r="J10" s="5" t="s">
        <v>19</v>
      </c>
      <c r="K10" s="2" t="s">
        <v>18</v>
      </c>
      <c r="L10" s="5" t="s">
        <v>19</v>
      </c>
      <c r="N10" s="77" t="s">
        <v>20</v>
      </c>
      <c r="O10" t="s">
        <v>21</v>
      </c>
      <c r="P10" s="2" t="s">
        <v>22</v>
      </c>
    </row>
    <row r="11" spans="1:51">
      <c r="C11" s="11" t="s">
        <v>23</v>
      </c>
      <c r="D11" s="11"/>
      <c r="E11" s="12"/>
      <c r="F11" s="13">
        <f>SUM(F12:F13)+SUM(F22:F23)</f>
        <v>9601.7350000000006</v>
      </c>
      <c r="G11" s="12"/>
      <c r="H11" s="13">
        <f>SUM(H12)+SUM(H20:H23)</f>
        <v>8552.3972148084085</v>
      </c>
      <c r="I11" s="12"/>
      <c r="J11" s="13">
        <f>SUM(J12)+SUM(J21:J24)</f>
        <v>4538.1530743383582</v>
      </c>
      <c r="K11" s="12"/>
      <c r="L11" s="13">
        <f>SUM(L12)+SUM(L20:L23)</f>
        <v>3009.5963133532641</v>
      </c>
      <c r="N11" t="s">
        <v>24</v>
      </c>
      <c r="O11">
        <v>120</v>
      </c>
      <c r="P11" t="s">
        <v>25</v>
      </c>
    </row>
    <row r="12" spans="1:51">
      <c r="C12" t="s">
        <v>26</v>
      </c>
      <c r="D12" t="s">
        <v>27</v>
      </c>
      <c r="F12" s="8">
        <f>O19*O12</f>
        <v>9601.7350000000006</v>
      </c>
      <c r="H12" s="8">
        <f>(H13+H18+H19)</f>
        <v>6841.9177718467272</v>
      </c>
      <c r="J12" s="6">
        <f>J13+J18</f>
        <v>4218.5</v>
      </c>
      <c r="L12" s="6">
        <f>L13+L19+L18+L17</f>
        <v>2247.2374594944913</v>
      </c>
      <c r="N12" t="s">
        <v>28</v>
      </c>
      <c r="O12">
        <v>13</v>
      </c>
    </row>
    <row r="13" spans="1:51">
      <c r="C13" s="24" t="s">
        <v>29</v>
      </c>
      <c r="D13" s="25" t="s">
        <v>27</v>
      </c>
      <c r="E13" s="25"/>
      <c r="F13" s="26"/>
      <c r="G13" s="26"/>
      <c r="H13" s="26">
        <f>SUM(H14:H16)</f>
        <v>823.6422553467271</v>
      </c>
      <c r="I13" s="25">
        <v>150</v>
      </c>
      <c r="J13" s="27">
        <f>O20*I13/60*O12</f>
        <v>3737.5</v>
      </c>
      <c r="K13" s="25">
        <v>150</v>
      </c>
      <c r="L13" s="27">
        <f>K13/60*O17*O12</f>
        <v>1496.8114063512637</v>
      </c>
      <c r="N13" t="s">
        <v>30</v>
      </c>
      <c r="O13">
        <v>2</v>
      </c>
    </row>
    <row r="14" spans="1:51">
      <c r="C14" s="23" t="s">
        <v>31</v>
      </c>
      <c r="D14" s="20" t="s">
        <v>27</v>
      </c>
      <c r="E14" s="20">
        <v>40</v>
      </c>
      <c r="F14" s="21"/>
      <c r="G14" s="20">
        <v>40</v>
      </c>
      <c r="H14" s="21">
        <f>G14/60*O15*O12</f>
        <v>411.82112767336355</v>
      </c>
      <c r="I14" s="20"/>
      <c r="J14" s="22"/>
      <c r="K14" s="20"/>
      <c r="L14" s="22"/>
      <c r="M14" s="6"/>
      <c r="N14" t="s">
        <v>32</v>
      </c>
      <c r="O14" s="8">
        <f>335*'Indexering prijzen'!B15/'Indexering prijzen'!B5</f>
        <v>450.94427049999996</v>
      </c>
      <c r="P14" t="s">
        <v>33</v>
      </c>
    </row>
    <row r="15" spans="1:51">
      <c r="C15" s="23" t="s">
        <v>34</v>
      </c>
      <c r="D15" s="20" t="s">
        <v>27</v>
      </c>
      <c r="E15" s="20">
        <v>20</v>
      </c>
      <c r="F15" s="21"/>
      <c r="G15" s="20">
        <v>20</v>
      </c>
      <c r="H15" s="21">
        <f>G15/60*O12*O26</f>
        <v>257.38820479585218</v>
      </c>
      <c r="I15" s="20"/>
      <c r="J15" s="22"/>
      <c r="K15" s="20"/>
      <c r="L15" s="22"/>
      <c r="M15" s="6"/>
      <c r="N15" t="s">
        <v>35</v>
      </c>
      <c r="O15" s="8">
        <f>4000*13/1543*1.41</f>
        <v>47.517822423849644</v>
      </c>
      <c r="P15" t="s">
        <v>36</v>
      </c>
    </row>
    <row r="16" spans="1:51">
      <c r="C16" s="23" t="s">
        <v>37</v>
      </c>
      <c r="D16" s="20" t="s">
        <v>27</v>
      </c>
      <c r="E16" s="20">
        <v>20</v>
      </c>
      <c r="F16" s="21"/>
      <c r="G16" s="20">
        <v>20</v>
      </c>
      <c r="H16" s="21">
        <f>G16*O25/60*O12</f>
        <v>154.43292287751134</v>
      </c>
      <c r="I16" s="20"/>
      <c r="J16" s="22"/>
      <c r="K16" s="20"/>
      <c r="L16" s="22"/>
      <c r="N16" t="s">
        <v>38</v>
      </c>
      <c r="O16" s="8">
        <f>3700*14/1543*1.41</f>
        <v>47.335061568373291</v>
      </c>
      <c r="P16" t="s">
        <v>39</v>
      </c>
    </row>
    <row r="17" spans="3:16">
      <c r="C17" s="24" t="s">
        <v>40</v>
      </c>
      <c r="D17" s="25" t="s">
        <v>27</v>
      </c>
      <c r="E17" s="25"/>
      <c r="F17" s="26" t="s">
        <v>41</v>
      </c>
      <c r="G17" s="25"/>
      <c r="H17" s="26" t="s">
        <v>41</v>
      </c>
      <c r="I17" s="41">
        <f>O34*O36</f>
        <v>27</v>
      </c>
      <c r="J17" s="27" t="s">
        <v>42</v>
      </c>
      <c r="K17" s="41">
        <f>O34*O36</f>
        <v>27</v>
      </c>
      <c r="L17" s="27">
        <f>K17/60*O17*O12</f>
        <v>269.42605314322748</v>
      </c>
      <c r="N17" t="s">
        <v>43</v>
      </c>
      <c r="O17" s="8">
        <f>4200*12/1543*1.41</f>
        <v>46.055735580038885</v>
      </c>
      <c r="P17" t="s">
        <v>44</v>
      </c>
    </row>
    <row r="18" spans="3:16">
      <c r="C18" s="24" t="s">
        <v>45</v>
      </c>
      <c r="D18" s="25" t="s">
        <v>27</v>
      </c>
      <c r="E18" s="25"/>
      <c r="F18" s="26"/>
      <c r="G18" s="25"/>
      <c r="H18" s="26">
        <f>O18*O12</f>
        <v>156</v>
      </c>
      <c r="I18" s="25"/>
      <c r="J18" s="27">
        <f>L18</f>
        <v>481</v>
      </c>
      <c r="K18" s="25"/>
      <c r="L18" s="27">
        <f>(O21+O18)*O12</f>
        <v>481</v>
      </c>
      <c r="N18" t="s">
        <v>46</v>
      </c>
      <c r="O18" s="8">
        <v>12</v>
      </c>
      <c r="P18" t="s">
        <v>47</v>
      </c>
    </row>
    <row r="19" spans="3:16">
      <c r="C19" s="24" t="s">
        <v>48</v>
      </c>
      <c r="D19" s="25" t="s">
        <v>27</v>
      </c>
      <c r="E19" s="25"/>
      <c r="F19" s="26"/>
      <c r="G19" s="25"/>
      <c r="H19" s="26">
        <f>O14*O12</f>
        <v>5862.2755164999999</v>
      </c>
      <c r="I19" s="25"/>
      <c r="J19" s="27"/>
      <c r="K19" s="25"/>
      <c r="L19" s="27"/>
      <c r="N19" t="s">
        <v>49</v>
      </c>
      <c r="O19" s="8">
        <f>'NZA tarief dagbehandeling kind'!D40*'Indexering prijzen'!B15/'Indexering prijzen'!B14</f>
        <v>738.59500000000003</v>
      </c>
      <c r="P19" t="s">
        <v>50</v>
      </c>
    </row>
    <row r="20" spans="3:16">
      <c r="C20" t="s">
        <v>51</v>
      </c>
      <c r="D20" t="s">
        <v>27</v>
      </c>
      <c r="G20" s="40">
        <v>0.25</v>
      </c>
      <c r="H20" s="8">
        <f>G20*(H13+H18+H19)</f>
        <v>1710.4794429616818</v>
      </c>
      <c r="K20" s="40">
        <f>O23</f>
        <v>0.19700000000000001</v>
      </c>
      <c r="L20" s="6">
        <f>K20*(L19+L18+L13+L17)</f>
        <v>442.70577952041481</v>
      </c>
      <c r="N20" t="s">
        <v>52</v>
      </c>
      <c r="O20" s="8">
        <v>115</v>
      </c>
      <c r="P20" t="s">
        <v>53</v>
      </c>
    </row>
    <row r="21" spans="3:16">
      <c r="C21" s="3" t="s">
        <v>54</v>
      </c>
      <c r="D21" t="s">
        <v>27</v>
      </c>
      <c r="F21" s="8" t="s">
        <v>41</v>
      </c>
      <c r="H21" s="6" t="s">
        <v>41</v>
      </c>
      <c r="J21" s="6">
        <f>O22</f>
        <v>120</v>
      </c>
      <c r="L21" s="6">
        <f>O22</f>
        <v>120</v>
      </c>
      <c r="N21" t="s">
        <v>55</v>
      </c>
      <c r="O21" s="8">
        <v>25</v>
      </c>
      <c r="P21" t="s">
        <v>56</v>
      </c>
    </row>
    <row r="22" spans="3:16">
      <c r="C22" s="3" t="s">
        <v>57</v>
      </c>
      <c r="D22" t="s">
        <v>27</v>
      </c>
      <c r="I22" s="48">
        <v>10.200677015594824</v>
      </c>
      <c r="J22" s="6">
        <v>104.61742949065879</v>
      </c>
      <c r="K22" s="48">
        <f>L22/13/O16*60</f>
        <v>10.200677015594824</v>
      </c>
      <c r="L22" s="6">
        <f>O28*O12</f>
        <v>104.61742949065879</v>
      </c>
      <c r="N22" t="s">
        <v>58</v>
      </c>
      <c r="O22" s="8">
        <v>120</v>
      </c>
      <c r="P22" t="s">
        <v>59</v>
      </c>
    </row>
    <row r="23" spans="3:16">
      <c r="C23" s="3" t="s">
        <v>60</v>
      </c>
      <c r="D23" t="s">
        <v>27</v>
      </c>
      <c r="F23" s="8" t="s">
        <v>41</v>
      </c>
      <c r="H23" s="8" t="s">
        <v>41</v>
      </c>
      <c r="I23">
        <v>120</v>
      </c>
      <c r="J23" s="6">
        <f>I23/60*O24</f>
        <v>95.035644847699288</v>
      </c>
      <c r="K23">
        <v>120</v>
      </c>
      <c r="L23" s="6">
        <f>K23/60*O24</f>
        <v>95.035644847699288</v>
      </c>
      <c r="N23" t="s">
        <v>61</v>
      </c>
      <c r="O23" s="49">
        <v>0.19700000000000001</v>
      </c>
      <c r="P23" t="s">
        <v>62</v>
      </c>
    </row>
    <row r="24" spans="3:16">
      <c r="C24" s="3"/>
      <c r="I24" s="9"/>
      <c r="K24" s="9"/>
      <c r="N24" t="s">
        <v>63</v>
      </c>
      <c r="O24" s="8">
        <f>4000*13/1543*1.41</f>
        <v>47.517822423849644</v>
      </c>
      <c r="P24" t="s">
        <v>64</v>
      </c>
    </row>
    <row r="25" spans="3:16">
      <c r="C25" s="4" t="s">
        <v>65</v>
      </c>
      <c r="D25" s="4"/>
      <c r="E25" s="9">
        <f>E14*O12/60</f>
        <v>8.6666666666666661</v>
      </c>
      <c r="F25" s="9"/>
      <c r="G25" s="9">
        <f>G14*O12/60</f>
        <v>8.6666666666666661</v>
      </c>
      <c r="H25" s="9"/>
      <c r="I25" s="9">
        <f>(I17+I13)/60*$O$12+I23/60+I22/60</f>
        <v>40.520011283593249</v>
      </c>
      <c r="J25" s="9"/>
      <c r="K25" s="9">
        <f>(K17+K13)/60*$O$12+K23/60+K22/60</f>
        <v>40.520011283593249</v>
      </c>
      <c r="N25" t="s">
        <v>66</v>
      </c>
      <c r="O25" s="8">
        <f>3000*13/1543*1.41</f>
        <v>35.638366817887231</v>
      </c>
      <c r="P25" t="s">
        <v>67</v>
      </c>
    </row>
    <row r="26" spans="3:16">
      <c r="C26" s="4" t="s">
        <v>68</v>
      </c>
      <c r="D26" s="4"/>
      <c r="E26" s="9">
        <f>E15*O12/60</f>
        <v>4.333333333333333</v>
      </c>
      <c r="G26" s="9">
        <f>G15*O12/60</f>
        <v>4.333333333333333</v>
      </c>
      <c r="N26" t="s">
        <v>69</v>
      </c>
      <c r="O26" s="8">
        <f>5000*13/1543*1.41</f>
        <v>59.39727802981205</v>
      </c>
      <c r="P26" t="s">
        <v>70</v>
      </c>
    </row>
    <row r="27" spans="3:16">
      <c r="C27" s="4" t="s">
        <v>71</v>
      </c>
      <c r="D27" s="4"/>
      <c r="E27" s="9">
        <f>E16*O12/60</f>
        <v>4.333333333333333</v>
      </c>
      <c r="G27" s="9">
        <f>G16*O12/60</f>
        <v>4.333333333333333</v>
      </c>
      <c r="N27" t="s">
        <v>72</v>
      </c>
      <c r="O27" s="40">
        <v>0.25</v>
      </c>
      <c r="P27" t="s">
        <v>73</v>
      </c>
    </row>
    <row r="28" spans="3:16">
      <c r="C28" s="14" t="s">
        <v>74</v>
      </c>
      <c r="D28" s="14"/>
      <c r="E28" s="15">
        <f>SUM(E25:E27)</f>
        <v>17.333333333333332</v>
      </c>
      <c r="F28" s="16"/>
      <c r="G28" s="15">
        <f>SUM(G25:G27)</f>
        <v>17.333333333333332</v>
      </c>
      <c r="H28" s="16"/>
      <c r="I28" s="15">
        <f>SUM(I25:I27)</f>
        <v>40.520011283593249</v>
      </c>
      <c r="J28" s="17"/>
      <c r="K28" s="15">
        <f t="shared" ref="K28" si="0">SUM(K25:K27)</f>
        <v>40.520011283593249</v>
      </c>
      <c r="L28" s="17"/>
      <c r="N28" t="s">
        <v>75</v>
      </c>
      <c r="O28" s="6">
        <f>6.08*'Indexering prijzen'!B15/'Indexering prijzen'!B7</f>
        <v>8.0474945762045227</v>
      </c>
      <c r="P28" t="s">
        <v>76</v>
      </c>
    </row>
    <row r="29" spans="3:16" ht="13.5" customHeight="1"/>
    <row r="30" spans="3:16" ht="60" customHeight="1">
      <c r="E30" s="79" t="s">
        <v>77</v>
      </c>
      <c r="F30" s="79"/>
      <c r="G30" s="79"/>
      <c r="H30" s="79"/>
      <c r="K30" s="79" t="s">
        <v>78</v>
      </c>
      <c r="L30" s="79"/>
      <c r="P30" s="1"/>
    </row>
    <row r="31" spans="3:16">
      <c r="D31" s="1"/>
      <c r="E31" s="2" t="s">
        <v>79</v>
      </c>
      <c r="F31" s="7" t="s">
        <v>19</v>
      </c>
      <c r="G31" s="2"/>
      <c r="H31" s="7"/>
      <c r="K31" s="2" t="s">
        <v>79</v>
      </c>
      <c r="L31" s="7" t="s">
        <v>19</v>
      </c>
      <c r="N31" s="77" t="s">
        <v>20</v>
      </c>
    </row>
    <row r="32" spans="3:16">
      <c r="C32" s="11" t="s">
        <v>80</v>
      </c>
      <c r="D32" s="12"/>
      <c r="E32" s="12"/>
      <c r="F32" s="13">
        <f>SUM(F33:F36)</f>
        <v>236.24633790276786</v>
      </c>
      <c r="G32" s="12"/>
      <c r="H32" s="13"/>
      <c r="I32" s="12"/>
      <c r="J32" s="53"/>
      <c r="K32" s="12"/>
      <c r="L32" s="13">
        <f>SUM(L33:L36)</f>
        <v>368.74967610278372</v>
      </c>
      <c r="N32" t="s">
        <v>81</v>
      </c>
      <c r="O32">
        <v>28.6</v>
      </c>
      <c r="P32" t="s">
        <v>82</v>
      </c>
    </row>
    <row r="33" spans="3:16">
      <c r="C33" t="s">
        <v>83</v>
      </c>
      <c r="D33" t="s">
        <v>84</v>
      </c>
      <c r="E33">
        <f>O32*(O12-O13)*2</f>
        <v>629.20000000000005</v>
      </c>
      <c r="F33" s="8">
        <f>E33*O33</f>
        <v>174.64633790276787</v>
      </c>
      <c r="K33" s="9"/>
      <c r="L33" s="8">
        <f>K33*$O33</f>
        <v>0</v>
      </c>
      <c r="N33" t="s">
        <v>85</v>
      </c>
      <c r="O33" s="6">
        <f>0.26*'Indexering prijzen'!B15/'Indexering prijzen'!B13</f>
        <v>0.2775688777857086</v>
      </c>
      <c r="P33" t="s">
        <v>86</v>
      </c>
    </row>
    <row r="34" spans="3:16">
      <c r="C34" t="s">
        <v>87</v>
      </c>
      <c r="D34" t="s">
        <v>84</v>
      </c>
      <c r="E34" s="9">
        <f>(O12-O13)*(O11)</f>
        <v>1320</v>
      </c>
      <c r="F34" s="8">
        <f>E34/60*O35</f>
        <v>61.599999999999994</v>
      </c>
      <c r="K34" s="9"/>
      <c r="L34" s="8">
        <f>K34/60*$O35</f>
        <v>0</v>
      </c>
      <c r="N34" t="s">
        <v>88</v>
      </c>
      <c r="O34" s="9">
        <v>27</v>
      </c>
      <c r="P34" t="s">
        <v>89</v>
      </c>
    </row>
    <row r="35" spans="3:16">
      <c r="C35" t="s">
        <v>90</v>
      </c>
      <c r="D35" t="s">
        <v>27</v>
      </c>
      <c r="E35" t="s">
        <v>41</v>
      </c>
      <c r="F35" s="8" t="s">
        <v>41</v>
      </c>
      <c r="I35">
        <f>K35</f>
        <v>351</v>
      </c>
      <c r="J35" s="6" t="s">
        <v>91</v>
      </c>
      <c r="K35">
        <f>O34*O12</f>
        <v>351</v>
      </c>
      <c r="L35" s="6">
        <f>K35*O39</f>
        <v>122.85</v>
      </c>
      <c r="N35" t="s">
        <v>92</v>
      </c>
      <c r="O35" s="6">
        <v>2.8</v>
      </c>
      <c r="P35" t="s">
        <v>93</v>
      </c>
    </row>
    <row r="36" spans="3:16">
      <c r="C36" t="s">
        <v>94</v>
      </c>
      <c r="D36" t="s">
        <v>27</v>
      </c>
      <c r="E36" t="s">
        <v>41</v>
      </c>
      <c r="F36" s="8" t="s">
        <v>95</v>
      </c>
      <c r="I36">
        <v>351</v>
      </c>
      <c r="J36" s="6">
        <v>250.26299999999998</v>
      </c>
      <c r="K36">
        <f>O37*O12</f>
        <v>351</v>
      </c>
      <c r="L36" s="6">
        <f>K36*O33+O12*O38</f>
        <v>245.8996761027837</v>
      </c>
      <c r="M36" s="6"/>
      <c r="N36" t="s">
        <v>96</v>
      </c>
      <c r="O36">
        <v>1</v>
      </c>
      <c r="P36" t="s">
        <v>97</v>
      </c>
    </row>
    <row r="37" spans="3:16">
      <c r="C37" s="14" t="s">
        <v>98</v>
      </c>
      <c r="D37" s="18"/>
      <c r="E37" s="18">
        <f>E33</f>
        <v>629.20000000000005</v>
      </c>
      <c r="F37" s="16"/>
      <c r="G37" s="18"/>
      <c r="H37" s="16"/>
      <c r="I37" s="18">
        <f>SUM(I35:I36)</f>
        <v>702</v>
      </c>
      <c r="J37" s="17"/>
      <c r="K37" s="18">
        <f>SUM(K35:K36)</f>
        <v>702</v>
      </c>
      <c r="L37" s="17"/>
      <c r="N37" t="s">
        <v>99</v>
      </c>
      <c r="O37" s="9">
        <f>O34</f>
        <v>27</v>
      </c>
      <c r="P37" t="s">
        <v>100</v>
      </c>
    </row>
    <row r="38" spans="3:16">
      <c r="C38" s="4"/>
      <c r="N38" t="s">
        <v>101</v>
      </c>
      <c r="O38" s="9">
        <f>O37/60*O36*18*1.41</f>
        <v>11.420999999999999</v>
      </c>
      <c r="P38" t="s">
        <v>102</v>
      </c>
    </row>
    <row r="39" spans="3:16">
      <c r="C39" s="4"/>
      <c r="N39" t="s">
        <v>103</v>
      </c>
      <c r="O39" s="6">
        <v>0.35</v>
      </c>
      <c r="P39" t="s">
        <v>104</v>
      </c>
    </row>
    <row r="40" spans="3:16">
      <c r="C40" s="4"/>
      <c r="O40" s="10"/>
    </row>
    <row r="41" spans="3:16" ht="52.5" customHeight="1">
      <c r="E41" s="79" t="s">
        <v>77</v>
      </c>
      <c r="F41" s="79"/>
      <c r="G41" s="79" t="s">
        <v>105</v>
      </c>
      <c r="H41" s="79"/>
    </row>
    <row r="42" spans="3:16">
      <c r="D42" s="1"/>
      <c r="E42" s="2" t="s">
        <v>106</v>
      </c>
      <c r="F42" s="7" t="s">
        <v>19</v>
      </c>
      <c r="G42" s="2" t="s">
        <v>79</v>
      </c>
      <c r="H42" s="7" t="s">
        <v>19</v>
      </c>
      <c r="N42" s="77" t="s">
        <v>20</v>
      </c>
    </row>
    <row r="43" spans="3:16">
      <c r="C43" s="11" t="s">
        <v>107</v>
      </c>
      <c r="D43" s="54"/>
      <c r="E43" s="54"/>
      <c r="F43" s="13">
        <f>F45</f>
        <v>800.13955441631663</v>
      </c>
      <c r="G43" s="54"/>
      <c r="H43" s="13">
        <f>H45</f>
        <v>270.92761436218399</v>
      </c>
      <c r="N43" t="s">
        <v>108</v>
      </c>
      <c r="O43" s="50">
        <f>39.88*'Indexering prijzen'!B15/'Indexering prijzen'!B13</f>
        <v>42.574795561900231</v>
      </c>
      <c r="P43" t="s">
        <v>109</v>
      </c>
    </row>
    <row r="44" spans="3:16">
      <c r="C44" t="s">
        <v>110</v>
      </c>
      <c r="E44" s="9">
        <f>(O11+O32*O36*2)*O12/60</f>
        <v>38.393333333333331</v>
      </c>
      <c r="F44" s="8">
        <f>E44*O43</f>
        <v>1634.5883176065561</v>
      </c>
      <c r="G44">
        <f>1*O12</f>
        <v>13</v>
      </c>
      <c r="H44" s="8">
        <f>G44*O43</f>
        <v>553.47234230470303</v>
      </c>
      <c r="N44" t="s">
        <v>111</v>
      </c>
      <c r="O44" s="50">
        <f>18.8*'Indexering prijzen'!B15/'Indexering prijzen'!B12</f>
        <v>20.840585720167997</v>
      </c>
      <c r="P44" t="s">
        <v>112</v>
      </c>
    </row>
    <row r="45" spans="3:16">
      <c r="C45" s="57" t="s">
        <v>113</v>
      </c>
      <c r="D45" s="57"/>
      <c r="E45" s="58">
        <f>E44</f>
        <v>38.393333333333331</v>
      </c>
      <c r="F45" s="59">
        <f>E45*O44</f>
        <v>800.13955441631663</v>
      </c>
      <c r="G45" s="57">
        <f>1*O12</f>
        <v>13</v>
      </c>
      <c r="H45" s="59">
        <f>G45*O44</f>
        <v>270.92761436218399</v>
      </c>
      <c r="N45" t="s">
        <v>114</v>
      </c>
      <c r="O45">
        <v>1</v>
      </c>
      <c r="P45" t="s">
        <v>115</v>
      </c>
    </row>
    <row r="46" spans="3:16" ht="58.5" customHeight="1">
      <c r="E46" s="79" t="s">
        <v>77</v>
      </c>
      <c r="F46" s="79"/>
      <c r="G46" s="79" t="s">
        <v>105</v>
      </c>
      <c r="H46" s="79"/>
    </row>
    <row r="47" spans="3:16">
      <c r="E47" s="2" t="s">
        <v>106</v>
      </c>
      <c r="F47" s="7" t="s">
        <v>19</v>
      </c>
      <c r="G47" s="2" t="s">
        <v>79</v>
      </c>
      <c r="H47" s="7" t="s">
        <v>19</v>
      </c>
    </row>
    <row r="48" spans="3:16">
      <c r="C48" s="11" t="s">
        <v>116</v>
      </c>
      <c r="D48" s="11"/>
      <c r="E48" s="55"/>
      <c r="F48" s="56">
        <f>F49</f>
        <v>439.82504203903477</v>
      </c>
      <c r="G48" s="55"/>
      <c r="H48" s="56">
        <f>H49</f>
        <v>0</v>
      </c>
      <c r="N48" s="77" t="s">
        <v>20</v>
      </c>
    </row>
    <row r="49" spans="3:16">
      <c r="C49" t="s">
        <v>117</v>
      </c>
      <c r="E49">
        <f>2*O12</f>
        <v>26</v>
      </c>
      <c r="F49" s="8">
        <f>E49*O49</f>
        <v>439.82504203903477</v>
      </c>
      <c r="G49">
        <v>0</v>
      </c>
      <c r="H49" s="8">
        <v>0</v>
      </c>
      <c r="N49" t="s">
        <v>118</v>
      </c>
      <c r="O49" s="51">
        <f>15.26*'Indexering prijzen'!B15/'Indexering prijzen'!B12</f>
        <v>16.916347770732106</v>
      </c>
      <c r="P49" t="s">
        <v>119</v>
      </c>
    </row>
    <row r="50" spans="3:16">
      <c r="C50" s="18" t="s">
        <v>120</v>
      </c>
      <c r="D50" s="18"/>
      <c r="E50" s="19">
        <f>E49/O50</f>
        <v>2.736842105263158E-2</v>
      </c>
      <c r="F50" s="16"/>
      <c r="G50" s="18"/>
      <c r="H50" s="16"/>
      <c r="N50" t="s">
        <v>121</v>
      </c>
      <c r="O50">
        <v>950</v>
      </c>
      <c r="P50" t="s">
        <v>122</v>
      </c>
    </row>
    <row r="51" spans="3:16">
      <c r="N51" t="s">
        <v>123</v>
      </c>
      <c r="O51" s="9">
        <f>0.5*O11/60+2*O32*O36/60</f>
        <v>1.9533333333333334</v>
      </c>
      <c r="P51" t="s">
        <v>124</v>
      </c>
    </row>
  </sheetData>
  <sheetProtection sheet="1" objects="1" scenarios="1" selectLockedCells="1" selectUnlockedCells="1"/>
  <mergeCells count="11">
    <mergeCell ref="I2:J2"/>
    <mergeCell ref="K2:L2"/>
    <mergeCell ref="E30:F30"/>
    <mergeCell ref="G30:H30"/>
    <mergeCell ref="K30:L30"/>
    <mergeCell ref="E41:F41"/>
    <mergeCell ref="G41:H41"/>
    <mergeCell ref="E46:F46"/>
    <mergeCell ref="G46:H46"/>
    <mergeCell ref="E2:F2"/>
    <mergeCell ref="G2:H2"/>
  </mergeCells>
  <hyperlinks>
    <hyperlink ref="N8" r:id="rId1" xr:uid="{81EC58D3-A1F5-4FF7-B334-C1244EDD6C2A}"/>
    <hyperlink ref="N7" r:id="rId2" display="https://pubmed.ncbi.nlm.nih.gov/32447129/" xr:uid="{CB7FC82E-9A73-4F4D-9A07-8DA8253EF024}"/>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D0C503-372C-4197-B233-2368C47BDF6D}">
  <dimension ref="A1:AZ40"/>
  <sheetViews>
    <sheetView zoomScale="80" zoomScaleNormal="80" workbookViewId="0">
      <selection activeCell="C13" sqref="C13"/>
    </sheetView>
  </sheetViews>
  <sheetFormatPr defaultColWidth="10.28515625" defaultRowHeight="14.45"/>
  <cols>
    <col min="1" max="1" width="15.42578125" style="28" customWidth="1"/>
    <col min="2" max="2" width="12.42578125" style="28" bestFit="1" customWidth="1"/>
    <col min="3" max="3" width="169.42578125" style="28" customWidth="1"/>
    <col min="4" max="4" width="17.7109375" style="28" customWidth="1"/>
    <col min="5" max="16384" width="10.28515625" style="28"/>
  </cols>
  <sheetData>
    <row r="1" spans="1:52">
      <c r="A1" s="28" t="s">
        <v>125</v>
      </c>
      <c r="D1" s="28">
        <v>2024</v>
      </c>
    </row>
    <row r="2" spans="1:52">
      <c r="A2" s="29" t="s">
        <v>126</v>
      </c>
      <c r="B2" s="29" t="s">
        <v>127</v>
      </c>
      <c r="C2" s="29" t="s">
        <v>128</v>
      </c>
      <c r="D2" s="29" t="s">
        <v>129</v>
      </c>
    </row>
    <row r="3" spans="1:52">
      <c r="A3" s="28" t="s">
        <v>130</v>
      </c>
      <c r="B3" s="28">
        <v>119899029</v>
      </c>
      <c r="C3" s="28" t="s">
        <v>131</v>
      </c>
      <c r="D3" s="28">
        <v>265</v>
      </c>
    </row>
    <row r="4" spans="1:52">
      <c r="A4" s="28" t="s">
        <v>132</v>
      </c>
      <c r="B4" s="28">
        <v>119899030</v>
      </c>
      <c r="C4" s="28" t="s">
        <v>133</v>
      </c>
      <c r="D4" s="28">
        <v>760</v>
      </c>
    </row>
    <row r="5" spans="1:52" s="31" customFormat="1">
      <c r="C5" s="32" t="s">
        <v>134</v>
      </c>
      <c r="D5" s="30">
        <f t="shared" ref="D5" si="0">D4-D3</f>
        <v>495</v>
      </c>
      <c r="E5" s="28"/>
      <c r="F5" s="28"/>
      <c r="G5" s="28"/>
      <c r="H5" s="28"/>
      <c r="I5" s="28"/>
      <c r="J5" s="28"/>
      <c r="K5" s="28"/>
      <c r="L5" s="28"/>
      <c r="M5" s="28"/>
      <c r="N5" s="28"/>
      <c r="O5" s="28"/>
      <c r="P5" s="28"/>
      <c r="Q5" s="28"/>
      <c r="R5" s="28"/>
      <c r="S5" s="28"/>
      <c r="T5" s="28"/>
      <c r="U5" s="28"/>
      <c r="V5" s="28"/>
      <c r="W5" s="28"/>
      <c r="X5" s="28"/>
      <c r="Y5" s="28"/>
      <c r="Z5" s="28"/>
      <c r="AA5" s="28"/>
      <c r="AB5" s="28"/>
      <c r="AC5" s="28"/>
      <c r="AD5" s="28"/>
      <c r="AE5" s="28"/>
      <c r="AF5" s="28"/>
      <c r="AG5" s="28"/>
      <c r="AH5" s="28"/>
      <c r="AI5" s="28"/>
      <c r="AJ5" s="28"/>
      <c r="AK5" s="28"/>
      <c r="AL5" s="28"/>
      <c r="AM5" s="28"/>
      <c r="AN5" s="28"/>
      <c r="AO5" s="28"/>
      <c r="AP5" s="28"/>
      <c r="AQ5" s="28"/>
      <c r="AR5" s="28"/>
      <c r="AS5" s="28"/>
      <c r="AT5" s="28"/>
      <c r="AU5" s="28"/>
      <c r="AV5" s="28"/>
      <c r="AW5" s="28"/>
      <c r="AX5" s="28"/>
      <c r="AY5" s="28"/>
      <c r="AZ5" s="28"/>
    </row>
    <row r="7" spans="1:52">
      <c r="A7" s="28" t="s">
        <v>135</v>
      </c>
      <c r="B7" s="28">
        <v>119899025</v>
      </c>
      <c r="C7" s="28" t="s">
        <v>136</v>
      </c>
      <c r="D7" s="28">
        <v>240</v>
      </c>
    </row>
    <row r="8" spans="1:52">
      <c r="A8" s="28" t="s">
        <v>137</v>
      </c>
      <c r="B8" s="33">
        <v>119899026</v>
      </c>
      <c r="C8" s="28" t="s">
        <v>138</v>
      </c>
      <c r="D8" s="28">
        <v>720</v>
      </c>
    </row>
    <row r="9" spans="1:52" s="31" customFormat="1">
      <c r="C9" s="32" t="s">
        <v>134</v>
      </c>
      <c r="D9" s="30">
        <f t="shared" ref="D9" si="1">D8-D7</f>
        <v>480</v>
      </c>
      <c r="E9" s="28"/>
      <c r="F9" s="28"/>
      <c r="G9" s="28"/>
      <c r="H9" s="28"/>
      <c r="I9" s="28"/>
      <c r="J9" s="28"/>
      <c r="K9" s="28"/>
      <c r="L9" s="28"/>
      <c r="M9" s="28"/>
      <c r="N9" s="28"/>
      <c r="O9" s="28"/>
      <c r="P9" s="28"/>
      <c r="Q9" s="28"/>
      <c r="R9" s="28"/>
      <c r="S9" s="28"/>
      <c r="T9" s="28"/>
      <c r="U9" s="28"/>
      <c r="V9" s="28"/>
      <c r="W9" s="28"/>
      <c r="X9" s="28"/>
      <c r="Y9" s="28"/>
      <c r="Z9" s="28"/>
      <c r="AA9" s="28"/>
      <c r="AB9" s="28"/>
      <c r="AC9" s="28"/>
      <c r="AD9" s="28"/>
      <c r="AE9" s="28"/>
      <c r="AF9" s="28"/>
      <c r="AG9" s="28"/>
      <c r="AH9" s="28"/>
      <c r="AI9" s="28"/>
      <c r="AJ9" s="28"/>
      <c r="AK9" s="28"/>
      <c r="AL9" s="28"/>
      <c r="AM9" s="28"/>
      <c r="AN9" s="28"/>
      <c r="AO9" s="28"/>
      <c r="AP9" s="28"/>
      <c r="AQ9" s="28"/>
      <c r="AR9" s="28"/>
      <c r="AS9" s="28"/>
      <c r="AT9" s="28"/>
      <c r="AU9" s="28"/>
      <c r="AV9" s="28"/>
      <c r="AW9" s="28"/>
      <c r="AX9" s="28"/>
      <c r="AY9" s="28"/>
      <c r="AZ9" s="28"/>
    </row>
    <row r="11" spans="1:52">
      <c r="A11" s="34" t="s">
        <v>139</v>
      </c>
      <c r="B11" s="28">
        <v>991416020</v>
      </c>
      <c r="C11" s="28" t="s">
        <v>140</v>
      </c>
      <c r="D11" s="28">
        <v>320</v>
      </c>
    </row>
    <row r="12" spans="1:52">
      <c r="A12" s="34" t="s">
        <v>141</v>
      </c>
      <c r="B12" s="28">
        <v>991416021</v>
      </c>
      <c r="C12" s="28" t="s">
        <v>142</v>
      </c>
      <c r="D12" s="28">
        <v>975</v>
      </c>
    </row>
    <row r="13" spans="1:52">
      <c r="A13" s="34" t="s">
        <v>143</v>
      </c>
      <c r="B13" s="28">
        <v>991416022</v>
      </c>
      <c r="C13" s="28" t="s">
        <v>144</v>
      </c>
      <c r="D13" s="28">
        <v>905</v>
      </c>
    </row>
    <row r="14" spans="1:52" s="31" customFormat="1">
      <c r="C14" s="32" t="s">
        <v>134</v>
      </c>
      <c r="D14" s="35">
        <f t="shared" ref="D14" si="2">D12-D11</f>
        <v>655</v>
      </c>
      <c r="E14" s="28"/>
      <c r="F14" s="28"/>
      <c r="G14" s="28"/>
      <c r="H14" s="28"/>
      <c r="I14" s="28"/>
      <c r="J14" s="28"/>
      <c r="K14" s="28"/>
      <c r="L14" s="28"/>
      <c r="M14" s="28"/>
      <c r="N14" s="28"/>
      <c r="O14" s="28"/>
      <c r="P14" s="28"/>
      <c r="Q14" s="28"/>
      <c r="R14" s="28"/>
      <c r="S14" s="28"/>
      <c r="T14" s="28"/>
      <c r="U14" s="28"/>
      <c r="V14" s="28"/>
      <c r="W14" s="28"/>
      <c r="X14" s="28"/>
      <c r="Y14" s="28"/>
      <c r="Z14" s="28"/>
      <c r="AA14" s="28"/>
      <c r="AB14" s="28"/>
      <c r="AC14" s="28"/>
      <c r="AD14" s="28"/>
      <c r="AE14" s="28"/>
      <c r="AF14" s="28"/>
      <c r="AG14" s="28"/>
      <c r="AH14" s="28"/>
      <c r="AI14" s="28"/>
      <c r="AJ14" s="28"/>
      <c r="AK14" s="28"/>
      <c r="AL14" s="28"/>
      <c r="AM14" s="28"/>
      <c r="AN14" s="28"/>
      <c r="AO14" s="28"/>
      <c r="AP14" s="28"/>
      <c r="AQ14" s="28"/>
      <c r="AR14" s="28"/>
      <c r="AS14" s="28"/>
      <c r="AT14" s="28"/>
      <c r="AU14" s="28"/>
      <c r="AV14" s="28"/>
      <c r="AW14" s="28"/>
      <c r="AX14" s="28"/>
      <c r="AY14" s="28"/>
      <c r="AZ14" s="28"/>
    </row>
    <row r="16" spans="1:52">
      <c r="A16" s="28" t="s">
        <v>145</v>
      </c>
      <c r="B16" s="28">
        <v>990416013</v>
      </c>
      <c r="C16" s="28" t="s">
        <v>146</v>
      </c>
      <c r="D16" s="28">
        <v>405</v>
      </c>
    </row>
    <row r="17" spans="1:52">
      <c r="A17" s="28" t="s">
        <v>147</v>
      </c>
      <c r="B17" s="28">
        <v>990416014</v>
      </c>
      <c r="C17" s="28" t="s">
        <v>148</v>
      </c>
      <c r="D17" s="28">
        <v>1170</v>
      </c>
    </row>
    <row r="18" spans="1:52">
      <c r="A18" s="28" t="s">
        <v>149</v>
      </c>
      <c r="B18" s="28">
        <v>990416015</v>
      </c>
      <c r="C18" s="78" t="s">
        <v>150</v>
      </c>
      <c r="D18" s="28">
        <v>1175</v>
      </c>
    </row>
    <row r="19" spans="1:52" s="31" customFormat="1">
      <c r="C19" s="32" t="s">
        <v>134</v>
      </c>
      <c r="D19" s="35">
        <f t="shared" ref="D19" si="3">D17-D16</f>
        <v>765</v>
      </c>
      <c r="E19" s="28"/>
      <c r="F19" s="28"/>
      <c r="G19" s="28"/>
      <c r="H19" s="28"/>
      <c r="I19" s="28"/>
      <c r="J19" s="28"/>
      <c r="K19" s="28"/>
      <c r="L19" s="28"/>
      <c r="M19" s="28"/>
      <c r="N19" s="28"/>
      <c r="O19" s="28"/>
      <c r="P19" s="28"/>
      <c r="Q19" s="28"/>
      <c r="R19" s="28"/>
      <c r="S19" s="28"/>
      <c r="T19" s="28"/>
      <c r="U19" s="28"/>
      <c r="V19" s="28"/>
      <c r="W19" s="28"/>
      <c r="X19" s="28"/>
      <c r="Y19" s="28"/>
      <c r="Z19" s="28"/>
      <c r="AA19" s="28"/>
      <c r="AB19" s="28"/>
      <c r="AC19" s="28"/>
      <c r="AD19" s="28"/>
      <c r="AE19" s="28"/>
      <c r="AF19" s="28"/>
      <c r="AG19" s="28"/>
      <c r="AH19" s="28"/>
      <c r="AI19" s="28"/>
      <c r="AJ19" s="28"/>
      <c r="AK19" s="28"/>
      <c r="AL19" s="28"/>
      <c r="AM19" s="28"/>
      <c r="AN19" s="28"/>
      <c r="AO19" s="28"/>
      <c r="AP19" s="28"/>
      <c r="AQ19" s="28"/>
      <c r="AR19" s="28"/>
      <c r="AS19" s="28"/>
      <c r="AT19" s="28"/>
      <c r="AU19" s="28"/>
      <c r="AV19" s="28"/>
      <c r="AW19" s="28"/>
      <c r="AX19" s="28"/>
      <c r="AY19" s="28"/>
      <c r="AZ19" s="28"/>
    </row>
    <row r="21" spans="1:52">
      <c r="A21" s="28" t="s">
        <v>151</v>
      </c>
      <c r="B21" s="28">
        <v>990416035</v>
      </c>
      <c r="C21" s="28" t="s">
        <v>152</v>
      </c>
      <c r="D21" s="28">
        <v>375</v>
      </c>
    </row>
    <row r="22" spans="1:52">
      <c r="A22" s="36" t="s">
        <v>153</v>
      </c>
      <c r="B22" s="28">
        <v>990416036</v>
      </c>
      <c r="C22" s="28" t="s">
        <v>154</v>
      </c>
      <c r="D22" s="28">
        <v>1090</v>
      </c>
    </row>
    <row r="23" spans="1:52">
      <c r="A23" s="36" t="s">
        <v>155</v>
      </c>
      <c r="B23" s="28">
        <v>990416037</v>
      </c>
      <c r="C23" s="28" t="s">
        <v>156</v>
      </c>
      <c r="D23" s="28" t="s">
        <v>157</v>
      </c>
    </row>
    <row r="24" spans="1:52" s="31" customFormat="1">
      <c r="C24" s="32" t="s">
        <v>134</v>
      </c>
      <c r="D24" s="35">
        <f t="shared" ref="D24" si="4">D22-D21</f>
        <v>715</v>
      </c>
      <c r="E24" s="28"/>
      <c r="F24" s="28"/>
      <c r="G24" s="28"/>
      <c r="H24" s="28"/>
      <c r="I24" s="28"/>
      <c r="J24" s="28"/>
      <c r="K24" s="28"/>
      <c r="L24" s="28"/>
      <c r="M24" s="28"/>
      <c r="N24" s="28"/>
      <c r="O24" s="28"/>
      <c r="P24" s="28"/>
      <c r="Q24" s="28"/>
      <c r="R24" s="28"/>
      <c r="S24" s="28"/>
      <c r="T24" s="28"/>
      <c r="U24" s="28"/>
      <c r="V24" s="28"/>
      <c r="W24" s="28"/>
      <c r="X24" s="28"/>
      <c r="Y24" s="28"/>
      <c r="Z24" s="28"/>
      <c r="AA24" s="28"/>
      <c r="AB24" s="28"/>
      <c r="AC24" s="28"/>
      <c r="AD24" s="28"/>
      <c r="AE24" s="28"/>
      <c r="AF24" s="28"/>
      <c r="AG24" s="28"/>
      <c r="AH24" s="28"/>
      <c r="AI24" s="28"/>
      <c r="AJ24" s="28"/>
      <c r="AK24" s="28"/>
      <c r="AL24" s="28"/>
      <c r="AM24" s="28"/>
      <c r="AN24" s="28"/>
      <c r="AO24" s="28"/>
      <c r="AP24" s="28"/>
      <c r="AQ24" s="28"/>
      <c r="AR24" s="28"/>
      <c r="AS24" s="28"/>
      <c r="AT24" s="28"/>
      <c r="AU24" s="28"/>
      <c r="AV24" s="28"/>
      <c r="AW24" s="28"/>
      <c r="AX24" s="28"/>
      <c r="AY24" s="28"/>
      <c r="AZ24" s="28"/>
    </row>
    <row r="26" spans="1:52">
      <c r="A26" s="28" t="s">
        <v>158</v>
      </c>
      <c r="B26" s="28">
        <v>990416024</v>
      </c>
      <c r="C26" s="28" t="s">
        <v>159</v>
      </c>
      <c r="D26" s="28">
        <v>495</v>
      </c>
    </row>
    <row r="27" spans="1:52">
      <c r="A27" s="28" t="s">
        <v>160</v>
      </c>
      <c r="B27" s="28">
        <v>990416025</v>
      </c>
      <c r="C27" s="28" t="s">
        <v>161</v>
      </c>
      <c r="D27" s="28">
        <v>1180</v>
      </c>
    </row>
    <row r="28" spans="1:52">
      <c r="A28" s="28" t="s">
        <v>162</v>
      </c>
      <c r="B28" s="28">
        <v>990416026</v>
      </c>
      <c r="C28" s="28" t="s">
        <v>163</v>
      </c>
      <c r="D28" s="28" t="s">
        <v>157</v>
      </c>
    </row>
    <row r="29" spans="1:52" s="31" customFormat="1">
      <c r="C29" s="32" t="s">
        <v>134</v>
      </c>
      <c r="D29" s="35">
        <f t="shared" ref="D29" si="5">D27-D26</f>
        <v>685</v>
      </c>
      <c r="E29" s="28"/>
      <c r="F29" s="28"/>
      <c r="G29" s="28"/>
      <c r="H29" s="28"/>
      <c r="I29" s="28"/>
      <c r="J29" s="28"/>
      <c r="K29" s="28"/>
      <c r="L29" s="28"/>
      <c r="M29" s="28"/>
      <c r="N29" s="28"/>
      <c r="O29" s="28"/>
      <c r="P29" s="28"/>
      <c r="Q29" s="28"/>
      <c r="R29" s="28"/>
      <c r="S29" s="28"/>
      <c r="T29" s="28"/>
      <c r="U29" s="28"/>
      <c r="V29" s="28"/>
      <c r="W29" s="28"/>
      <c r="X29" s="28"/>
      <c r="Y29" s="28"/>
      <c r="Z29" s="28"/>
      <c r="AA29" s="28"/>
      <c r="AB29" s="28"/>
      <c r="AC29" s="28"/>
      <c r="AD29" s="28"/>
      <c r="AE29" s="28"/>
      <c r="AF29" s="28"/>
      <c r="AG29" s="28"/>
      <c r="AH29" s="28"/>
      <c r="AI29" s="28"/>
      <c r="AJ29" s="28"/>
      <c r="AK29" s="28"/>
      <c r="AL29" s="28"/>
      <c r="AM29" s="28"/>
      <c r="AN29" s="28"/>
      <c r="AO29" s="28"/>
      <c r="AP29" s="28"/>
      <c r="AQ29" s="28"/>
      <c r="AR29" s="28"/>
      <c r="AS29" s="28"/>
      <c r="AT29" s="28"/>
      <c r="AU29" s="28"/>
      <c r="AV29" s="28"/>
      <c r="AW29" s="28"/>
      <c r="AX29" s="28"/>
      <c r="AY29" s="28"/>
      <c r="AZ29" s="28"/>
    </row>
    <row r="31" spans="1:52">
      <c r="A31" s="36" t="s">
        <v>164</v>
      </c>
      <c r="B31" s="28">
        <v>990416056</v>
      </c>
      <c r="C31" s="28" t="s">
        <v>165</v>
      </c>
      <c r="D31" s="28">
        <v>400</v>
      </c>
    </row>
    <row r="32" spans="1:52">
      <c r="A32" s="36" t="s">
        <v>166</v>
      </c>
      <c r="B32" s="28">
        <v>990416057</v>
      </c>
      <c r="C32" s="28" t="s">
        <v>167</v>
      </c>
      <c r="D32" s="28">
        <v>1735</v>
      </c>
    </row>
    <row r="33" spans="1:52">
      <c r="A33" s="36" t="s">
        <v>168</v>
      </c>
      <c r="B33" s="28">
        <v>990416058</v>
      </c>
      <c r="C33" s="28" t="s">
        <v>169</v>
      </c>
      <c r="D33" s="28" t="s">
        <v>157</v>
      </c>
    </row>
    <row r="34" spans="1:52" s="31" customFormat="1">
      <c r="C34" s="32" t="s">
        <v>134</v>
      </c>
      <c r="D34" s="35">
        <f t="shared" ref="D34" si="6">D32-D31</f>
        <v>1335</v>
      </c>
      <c r="E34" s="28"/>
      <c r="F34" s="28"/>
      <c r="G34" s="28"/>
      <c r="H34" s="28"/>
      <c r="I34" s="28"/>
      <c r="J34" s="28"/>
      <c r="K34" s="28"/>
      <c r="L34" s="28"/>
      <c r="M34" s="28"/>
      <c r="N34" s="28"/>
      <c r="O34" s="28"/>
      <c r="P34" s="28"/>
      <c r="Q34" s="28"/>
      <c r="R34" s="28"/>
      <c r="S34" s="28"/>
      <c r="T34" s="28"/>
      <c r="U34" s="28"/>
      <c r="V34" s="28"/>
      <c r="W34" s="28"/>
      <c r="X34" s="28"/>
      <c r="Y34" s="28"/>
      <c r="Z34" s="28"/>
      <c r="AA34" s="28"/>
      <c r="AB34" s="28"/>
      <c r="AC34" s="28"/>
      <c r="AD34" s="28"/>
      <c r="AE34" s="28"/>
      <c r="AF34" s="28"/>
      <c r="AG34" s="28"/>
      <c r="AH34" s="28"/>
      <c r="AI34" s="28"/>
      <c r="AJ34" s="28"/>
      <c r="AK34" s="28"/>
      <c r="AL34" s="28"/>
      <c r="AM34" s="28"/>
      <c r="AN34" s="28"/>
      <c r="AO34" s="28"/>
      <c r="AP34" s="28"/>
      <c r="AQ34" s="28"/>
      <c r="AR34" s="28"/>
      <c r="AS34" s="28"/>
      <c r="AT34" s="28"/>
      <c r="AU34" s="28"/>
      <c r="AV34" s="28"/>
      <c r="AW34" s="28"/>
      <c r="AX34" s="28"/>
      <c r="AY34" s="28"/>
      <c r="AZ34" s="28"/>
    </row>
    <row r="36" spans="1:52">
      <c r="C36" s="37" t="s">
        <v>170</v>
      </c>
      <c r="D36" s="38">
        <f>AVERAGE(D34,D29,D24,D19,D14,D9,D5)</f>
        <v>732.85714285714289</v>
      </c>
    </row>
    <row r="37" spans="1:52">
      <c r="C37" s="37" t="s">
        <v>171</v>
      </c>
      <c r="D37" s="31">
        <f>MEDIAN(D34,D29,D24,D19,D14,D9,D5)</f>
        <v>685</v>
      </c>
    </row>
    <row r="39" spans="1:52">
      <c r="C39" s="37" t="s">
        <v>172</v>
      </c>
      <c r="D39" s="31">
        <f>AVERAGE(D14,D34,D29,D24,D19)</f>
        <v>831</v>
      </c>
      <c r="E39" s="28" t="e">
        <f>AVERAGE(#REF!,#REF!,#REF!,#REF!)</f>
        <v>#REF!</v>
      </c>
    </row>
    <row r="40" spans="1:52">
      <c r="C40" s="37" t="s">
        <v>173</v>
      </c>
      <c r="D40" s="31">
        <f>MEDIAN(D34,D29,D24,D19,D14)</f>
        <v>715</v>
      </c>
    </row>
  </sheetData>
  <sheetProtection algorithmName="SHA-512" hashValue="fahxeNIlHbzhwZipSP0ukWKgmBY+ZAPy0bwCdPCdRExZU/sYwOMvxjpBDAOT2OAo4sL1XZfImrwSc2Br4iECbA==" saltValue="iR8NQivLAeUs+0liCVUb/A==" spinCount="100000" sheet="1" objects="1" scenarios="1"/>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148EFC-8973-417F-A0AF-66829AC4A7CC}">
  <dimension ref="A1:B15"/>
  <sheetViews>
    <sheetView workbookViewId="0">
      <selection activeCell="B10" sqref="B10"/>
    </sheetView>
  </sheetViews>
  <sheetFormatPr defaultRowHeight="14.45"/>
  <cols>
    <col min="2" max="2" width="53.42578125" customWidth="1"/>
  </cols>
  <sheetData>
    <row r="1" spans="1:2">
      <c r="A1" s="42" t="s">
        <v>174</v>
      </c>
      <c r="B1" s="43"/>
    </row>
    <row r="2" spans="1:2">
      <c r="A2" s="44"/>
      <c r="B2" s="44"/>
    </row>
    <row r="3" spans="1:2">
      <c r="A3" s="45" t="s">
        <v>175</v>
      </c>
      <c r="B3" s="46" t="s">
        <v>176</v>
      </c>
    </row>
    <row r="4" spans="1:2">
      <c r="A4" s="47">
        <v>2014</v>
      </c>
      <c r="B4" s="47">
        <v>99.4</v>
      </c>
    </row>
    <row r="5" spans="1:2">
      <c r="A5" s="47">
        <v>2015</v>
      </c>
      <c r="B5" s="47">
        <v>100</v>
      </c>
    </row>
    <row r="6" spans="1:2">
      <c r="A6" s="47">
        <v>2016</v>
      </c>
      <c r="B6" s="47">
        <v>100.32</v>
      </c>
    </row>
    <row r="7" spans="1:2">
      <c r="A7" s="47">
        <v>2017</v>
      </c>
      <c r="B7" s="47">
        <v>101.7</v>
      </c>
    </row>
    <row r="8" spans="1:2">
      <c r="A8" s="47">
        <v>2018</v>
      </c>
      <c r="B8" s="47">
        <v>103.44</v>
      </c>
    </row>
    <row r="9" spans="1:2">
      <c r="A9" s="47">
        <v>2019</v>
      </c>
      <c r="B9" s="47">
        <v>106.16</v>
      </c>
    </row>
    <row r="10" spans="1:2">
      <c r="A10" s="47">
        <v>2020</v>
      </c>
      <c r="B10" s="47">
        <v>107.51</v>
      </c>
    </row>
    <row r="11" spans="1:2">
      <c r="A11" s="47">
        <v>2021</v>
      </c>
      <c r="B11" s="47">
        <v>110.39</v>
      </c>
    </row>
    <row r="12" spans="1:2">
      <c r="A12" s="47">
        <v>2022</v>
      </c>
      <c r="B12" s="47">
        <v>121.43</v>
      </c>
    </row>
    <row r="13" spans="1:2">
      <c r="A13" s="47">
        <v>2023</v>
      </c>
      <c r="B13" s="47">
        <v>126.09</v>
      </c>
    </row>
    <row r="14" spans="1:2">
      <c r="A14" s="47">
        <v>2024</v>
      </c>
      <c r="B14" s="47">
        <v>130.31</v>
      </c>
    </row>
    <row r="15" spans="1:2">
      <c r="A15" s="47">
        <v>2025</v>
      </c>
      <c r="B15" s="52">
        <f>B14*1.033</f>
        <v>134.61023</v>
      </c>
    </row>
  </sheetData>
  <sheetProtection algorithmName="SHA-512" hashValue="PfGO/d6bVAUy8uezOcojnOtrrHCQcINhgKRCd/9bz5AfroduNVop3rXDgFwETxy8yVH0nJzDnkhJZPQG3rV+ng==" saltValue="NZ8XjIQabIEo2DV9a+5Q5w==" spinCount="100000" sheet="1" objects="1" scenarios="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6B072-B354-4015-A95C-9D62F9C9D9BA}">
  <dimension ref="A1:C6"/>
  <sheetViews>
    <sheetView workbookViewId="0">
      <selection sqref="A1:C6"/>
    </sheetView>
  </sheetViews>
  <sheetFormatPr defaultRowHeight="14.45"/>
  <sheetData>
    <row r="1" spans="1:3">
      <c r="B1" t="s">
        <v>177</v>
      </c>
      <c r="C1" t="s">
        <v>105</v>
      </c>
    </row>
    <row r="2" spans="1:3">
      <c r="A2" t="s">
        <v>178</v>
      </c>
      <c r="B2" s="9">
        <f>Overview!E14*13/60</f>
        <v>8.6666666666666661</v>
      </c>
      <c r="C2" s="9">
        <f>(Overview!I13+Overview!I17)*13/60</f>
        <v>38.35</v>
      </c>
    </row>
    <row r="3" spans="1:3">
      <c r="A3" t="s">
        <v>34</v>
      </c>
      <c r="B3" s="9">
        <f>Overview!E15*13/60</f>
        <v>4.333333333333333</v>
      </c>
    </row>
    <row r="4" spans="1:3">
      <c r="A4" t="s">
        <v>179</v>
      </c>
      <c r="B4" s="9">
        <f>Overview!E16*13/60</f>
        <v>4.333333333333333</v>
      </c>
    </row>
    <row r="5" spans="1:3">
      <c r="A5" t="s">
        <v>180</v>
      </c>
      <c r="C5">
        <f>Overview!K23/60</f>
        <v>2</v>
      </c>
    </row>
    <row r="6" spans="1:3">
      <c r="A6" t="s">
        <v>181</v>
      </c>
      <c r="C6" s="9">
        <f>Overview!K22*Overview!O12/60</f>
        <v>2.2101466867122119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E540C2802906443AF40C67E6C9B1B5B" ma:contentTypeVersion="19" ma:contentTypeDescription="Een nieuw document maken." ma:contentTypeScope="" ma:versionID="01626c1ceb050af43764130fb0afcd71">
  <xsd:schema xmlns:xsd="http://www.w3.org/2001/XMLSchema" xmlns:xs="http://www.w3.org/2001/XMLSchema" xmlns:p="http://schemas.microsoft.com/office/2006/metadata/properties" xmlns:ns2="0b16fcf8-8d6d-4f0d-a6d4-c3714144c30a" xmlns:ns3="c4c21f7d-bd4b-414a-9926-03b6af0ebef8" targetNamespace="http://schemas.microsoft.com/office/2006/metadata/properties" ma:root="true" ma:fieldsID="2c0549c24e3b8c04d051276aa8a6337b" ns2:_="" ns3:_="">
    <xsd:import namespace="0b16fcf8-8d6d-4f0d-a6d4-c3714144c30a"/>
    <xsd:import namespace="c4c21f7d-bd4b-414a-9926-03b6af0ebef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3:SharedWithUsers" minOccurs="0"/>
                <xsd:element ref="ns3:SharedWithDetails" minOccurs="0"/>
                <xsd:element ref="ns2:MediaServiceOCR" minOccurs="0"/>
                <xsd:element ref="ns2:MediaServiceLocation"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b16fcf8-8d6d-4f0d-a6d4-c3714144c30a"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0" nillable="true" ma:displayName="MediaServiceDateTaken" ma:description="" ma:hidden="true" ma:internalName="MediaServiceDateTaken" ma:readOnly="true">
      <xsd:simpleType>
        <xsd:restriction base="dms:Text"/>
      </xsd:simpleType>
    </xsd:element>
    <xsd:element name="MediaServiceAutoTags" ma:index="11" nillable="true" ma:displayName="MediaServiceAutoTags" ma:description=""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ad849770-1fc7-4a42-a1a3-1971f75273c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4c21f7d-bd4b-414a-9926-03b6af0ebef8" elementFormDefault="qualified">
    <xsd:import namespace="http://schemas.microsoft.com/office/2006/documentManagement/types"/>
    <xsd:import namespace="http://schemas.microsoft.com/office/infopath/2007/PartnerControls"/>
    <xsd:element name="SharedWithUsers" ma:index="12"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description="" ma:internalName="SharedWithDetails" ma:readOnly="true">
      <xsd:simpleType>
        <xsd:restriction base="dms:Note">
          <xsd:maxLength value="255"/>
        </xsd:restriction>
      </xsd:simpleType>
    </xsd:element>
    <xsd:element name="TaxCatchAll" ma:index="23" nillable="true" ma:displayName="Taxonomy Catch All Column" ma:hidden="true" ma:list="{379d0f15-055c-46a4-a0c2-f87a2f1e339e}" ma:internalName="TaxCatchAll" ma:showField="CatchAllData" ma:web="c4c21f7d-bd4b-414a-9926-03b6af0ebef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b16fcf8-8d6d-4f0d-a6d4-c3714144c30a">
      <Terms xmlns="http://schemas.microsoft.com/office/infopath/2007/PartnerControls"/>
    </lcf76f155ced4ddcb4097134ff3c332f>
    <TaxCatchAll xmlns="c4c21f7d-bd4b-414a-9926-03b6af0ebef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2328E8F-18E3-4B1A-B9C6-7597DF1C961F}"/>
</file>

<file path=customXml/itemProps2.xml><?xml version="1.0" encoding="utf-8"?>
<ds:datastoreItem xmlns:ds="http://schemas.openxmlformats.org/officeDocument/2006/customXml" ds:itemID="{7C925C74-C059-4B1B-861E-14C6A0D07C34}"/>
</file>

<file path=customXml/itemProps3.xml><?xml version="1.0" encoding="utf-8"?>
<ds:datastoreItem xmlns:ds="http://schemas.openxmlformats.org/officeDocument/2006/customXml" ds:itemID="{CD87526B-CDA0-45E7-A53D-5F104A4FE61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Houtum, Laura van</dc:creator>
  <cp:keywords/>
  <dc:description/>
  <cp:lastModifiedBy>Esen Doganer- Stichting Kind &amp; Zorg</cp:lastModifiedBy>
  <cp:revision/>
  <dcterms:created xsi:type="dcterms:W3CDTF">2025-11-21T07:56:32Z</dcterms:created>
  <dcterms:modified xsi:type="dcterms:W3CDTF">2026-02-02T18:38:12Z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0x0101002E540C2802906443AF40C67E6C9B1B5B</vt:lpwstr>
  </property>
  <property fmtid="{D5CDD505-2E9C-101B-9397-08002B2CF9AE}" pid="3" name="MediaServiceImageTags">
    <vt:lpwstr/>
  </property>
</Properties>
</file>